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Stammdaten" sheetId="2" state="visible" r:id="rId2"/>
    <sheet xmlns:r="http://schemas.openxmlformats.org/officeDocument/2006/relationships" name="Fristen" sheetId="3" state="visible" r:id="rId3"/>
    <sheet xmlns:r="http://schemas.openxmlformats.org/officeDocument/2006/relationships" name="Angebote" sheetId="4" state="visible" r:id="rId4"/>
    <sheet xmlns:r="http://schemas.openxmlformats.org/officeDocument/2006/relationships" name="Risiko" sheetId="5" state="visible" r:id="rId5"/>
    <sheet xmlns:r="http://schemas.openxmlformats.org/officeDocument/2006/relationships" name="Entscheid" sheetId="6" state="visible" r:id="rId6"/>
    <sheet xmlns:r="http://schemas.openxmlformats.org/officeDocument/2006/relationships" name="Mitteilung" sheetId="7" state="visible" r:id="rId7"/>
    <sheet xmlns:r="http://schemas.openxmlformats.org/officeDocument/2006/relationships" name="Notfallblatt_Gas" sheetId="8" state="visible" r:id="rId8"/>
  </sheets>
  <definedNames>
    <definedName name="Lieferjahr">Stammdaten!$B$7</definedName>
    <definedName name="Stichtag">Stammdaten!$B$14</definedName>
    <definedName name="ImMarkt">Stammdaten!$B$9</definedName>
    <definedName name="IndivVertrag">Stammdaten!$B$10</definedName>
    <definedName name="Stress">Stammdaten!$B$11</definedName>
    <definedName name="Puffer">Stammdaten!$B$12</definedName>
    <definedName name="Verbrauch">Stammdaten!$B$33</definedName>
    <definedName name="Anspruch">Stammdaten!$B$35</definedName>
    <definedName name="Frist">Fristen!$B$9</definedName>
    <definedName name="Versand">Fristen!$B$8</definedName>
    <definedName name="GVKosten">Angebote!$D$8</definedName>
    <definedName name="AnzAngebote">Angebote!$D$19</definedName>
    <definedName name="BesteDiff">Angebote!$D$22</definedName>
    <definedName name="BesteDiffStress">Angebote!$D$23</definedName>
    <definedName name="BesterLieferant">Angebote!$D$21</definedName>
    <definedName name="AnzStressfest">Angebote!$D$24</definedName>
    <definedName name="Punkte">Risiko!$C$17</definedName>
    <definedName name="KO">Risiko!$C$18</definedName>
    <definedName name="Einordnung">Risiko!$C$19</definedName>
  </definedNames>
  <calcPr calcId="124519" fullCalcOnLoad="1"/>
</workbook>
</file>

<file path=xl/styles.xml><?xml version="1.0" encoding="utf-8"?>
<styleSheet xmlns="http://schemas.openxmlformats.org/spreadsheetml/2006/main">
  <numFmts count="4">
    <numFmt numFmtId="164" formatCode="DD.MM.YYYY"/>
    <numFmt numFmtId="165" formatCode="#'##0"/>
    <numFmt numFmtId="166" formatCode="#'##0;-#'##0;0"/>
    <numFmt numFmtId="167" formatCode="0.0%"/>
  </numFmts>
  <fonts count="9">
    <font>
      <name val="Calibri"/>
      <family val="2"/>
      <color theme="1"/>
      <sz val="11"/>
      <scheme val="minor"/>
    </font>
    <font>
      <name val="Arial"/>
      <b val="1"/>
      <color rgb="0013233F"/>
      <sz val="16"/>
    </font>
    <font>
      <name val="Arial"/>
      <i val="1"/>
      <color rgb="00555555"/>
      <sz val="9"/>
    </font>
    <font>
      <name val="Arial"/>
      <b val="1"/>
      <color rgb="00B4693E"/>
      <sz val="11"/>
    </font>
    <font>
      <name val="Arial"/>
      <b val="1"/>
      <sz val="10"/>
    </font>
    <font>
      <name val="Arial"/>
      <sz val="10"/>
    </font>
    <font>
      <name val="Arial"/>
      <b val="1"/>
      <color rgb="00FFFFFF"/>
      <sz val="10"/>
    </font>
    <font>
      <name val="Arial"/>
      <i val="1"/>
      <color rgb="00B4693E"/>
      <sz val="10"/>
    </font>
    <font>
      <name val="Arial"/>
      <b val="1"/>
      <color rgb="00B4693E"/>
      <sz val="9"/>
    </font>
  </fonts>
  <fills count="5">
    <fill>
      <patternFill/>
    </fill>
    <fill>
      <patternFill patternType="gray125"/>
    </fill>
    <fill>
      <patternFill patternType="solid">
        <fgColor rgb="00EEF1F5"/>
      </patternFill>
    </fill>
    <fill>
      <patternFill patternType="solid">
        <fgColor rgb="00F8D7D3"/>
      </patternFill>
    </fill>
    <fill>
      <patternFill patternType="solid">
        <fgColor rgb="0013233F"/>
      </patternFill>
    </fill>
  </fills>
  <borders count="6">
    <border>
      <left/>
      <right/>
      <top/>
      <bottom/>
      <diagonal/>
    </border>
    <border>
      <left style="thin">
        <color rgb="00C9CED6"/>
      </left>
      <right style="thin">
        <color rgb="00C9CED6"/>
      </right>
      <top style="thin">
        <color rgb="00C9CED6"/>
      </top>
      <bottom style="thin">
        <color rgb="00C9CED6"/>
      </bottom>
    </border>
    <border>
      <left/>
      <right/>
      <top style="thin">
        <color rgb="00C9CED6"/>
      </top>
      <bottom/>
      <diagonal/>
    </border>
    <border>
      <left/>
      <right style="thin">
        <color rgb="00C9CED6"/>
      </right>
      <top style="thin">
        <color rgb="00C9CED6"/>
      </top>
      <bottom/>
      <diagonal/>
    </border>
    <border>
      <left/>
      <right style="thin">
        <color rgb="00C9CED6"/>
      </right>
      <top style="thin">
        <color rgb="00C9CED6"/>
      </top>
      <bottom style="thin">
        <color rgb="00C9CED6"/>
      </bottom>
      <diagonal/>
    </border>
    <border>
      <left/>
      <right/>
      <top style="thin">
        <color rgb="00C9CED6"/>
      </top>
      <bottom style="thin">
        <color rgb="00C9CED6"/>
      </bottom>
      <diagonal/>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1" applyAlignment="1" pivotButton="0" quotePrefix="0" xfId="0">
      <alignment vertical="top" wrapText="1"/>
    </xf>
    <xf numFmtId="0" fontId="5" fillId="0" borderId="1" applyAlignment="1" pivotButton="0" quotePrefix="0" xfId="0">
      <alignment vertical="top" wrapText="1"/>
    </xf>
    <xf numFmtId="0" fontId="0" fillId="0" borderId="4" pivotButton="0" quotePrefix="0" xfId="0"/>
    <xf numFmtId="0" fontId="5" fillId="2" borderId="1" applyAlignment="1" pivotButton="0" quotePrefix="0" xfId="0">
      <alignment vertical="top" wrapText="1"/>
    </xf>
    <xf numFmtId="0" fontId="5" fillId="3" borderId="1" applyAlignment="1" pivotButton="0" quotePrefix="0" xfId="0">
      <alignment vertical="top" wrapText="1"/>
    </xf>
    <xf numFmtId="0" fontId="6" fillId="4" borderId="1" applyAlignment="1" pivotButton="0" quotePrefix="0" xfId="0">
      <alignment horizontal="center" vertical="top" wrapText="1"/>
    </xf>
    <xf numFmtId="0" fontId="7" fillId="0" borderId="0" applyAlignment="1" pivotButton="0" quotePrefix="0" xfId="0">
      <alignment vertical="top" wrapText="1"/>
    </xf>
    <xf numFmtId="0" fontId="8" fillId="0" borderId="0" pivotButton="0" quotePrefix="0" xfId="0"/>
    <xf numFmtId="1" fontId="5" fillId="2" borderId="1" applyAlignment="1" pivotButton="0" quotePrefix="0" xfId="0">
      <alignment vertical="top" wrapText="1"/>
    </xf>
    <xf numFmtId="164" fontId="5" fillId="2" borderId="1" applyAlignment="1" pivotButton="0" quotePrefix="0" xfId="0">
      <alignment vertical="top" wrapText="1"/>
    </xf>
    <xf numFmtId="0" fontId="2" fillId="0" borderId="0" pivotButton="0" quotePrefix="0" xfId="0"/>
    <xf numFmtId="9" fontId="5" fillId="2" borderId="1" applyAlignment="1" pivotButton="0" quotePrefix="0" xfId="0">
      <alignment vertical="top" wrapText="1"/>
    </xf>
    <xf numFmtId="164" fontId="4" fillId="0" borderId="1" applyAlignment="1" pivotButton="0" quotePrefix="0" xfId="0">
      <alignment vertical="top" wrapText="1"/>
    </xf>
    <xf numFmtId="165" fontId="5" fillId="2" borderId="1" applyAlignment="1" pivotButton="0" quotePrefix="0" xfId="0">
      <alignment vertical="top" wrapText="1"/>
    </xf>
    <xf numFmtId="165" fontId="5" fillId="0" borderId="1" applyAlignment="1" pivotButton="0" quotePrefix="0" xfId="0">
      <alignment vertical="top" wrapText="1"/>
    </xf>
    <xf numFmtId="0" fontId="8" fillId="2" borderId="1" applyAlignment="1" pivotButton="0" quotePrefix="0" xfId="0">
      <alignment vertical="top" wrapText="1"/>
    </xf>
    <xf numFmtId="165" fontId="4" fillId="0" borderId="1" applyAlignment="1" pivotButton="0" quotePrefix="0" xfId="0">
      <alignment vertical="top" wrapText="1"/>
    </xf>
    <xf numFmtId="9" fontId="5" fillId="0" borderId="1" applyAlignment="1" pivotButton="0" quotePrefix="0" xfId="0">
      <alignment vertical="top" wrapText="1"/>
    </xf>
    <xf numFmtId="164" fontId="5" fillId="0" borderId="1" applyAlignment="1" pivotButton="0" quotePrefix="0" xfId="0">
      <alignment vertical="top" wrapText="1"/>
    </xf>
    <xf numFmtId="1" fontId="4" fillId="0" borderId="1" applyAlignment="1" pivotButton="0" quotePrefix="0" xfId="0">
      <alignment vertical="top" wrapText="1"/>
    </xf>
    <xf numFmtId="0" fontId="0" fillId="0" borderId="5" pivotButton="0" quotePrefix="0" xfId="0"/>
    <xf numFmtId="2" fontId="5" fillId="2" borderId="1" applyAlignment="1" pivotButton="0" quotePrefix="0" xfId="0">
      <alignment vertical="top" wrapText="1"/>
    </xf>
    <xf numFmtId="166" fontId="5" fillId="2" borderId="1" applyAlignment="1" pivotButton="0" quotePrefix="0" xfId="0">
      <alignment vertical="top" wrapText="1"/>
    </xf>
    <xf numFmtId="166" fontId="4" fillId="0" borderId="1" applyAlignment="1" pivotButton="0" quotePrefix="0" xfId="0">
      <alignment vertical="top" wrapText="1"/>
    </xf>
    <xf numFmtId="2" fontId="5" fillId="0" borderId="1" applyAlignment="1" pivotButton="0" quotePrefix="0" xfId="0">
      <alignment vertical="top" wrapText="1"/>
    </xf>
    <xf numFmtId="166" fontId="5" fillId="0" borderId="1" applyAlignment="1" pivotButton="0" quotePrefix="0" xfId="0">
      <alignment vertical="top" wrapText="1"/>
    </xf>
    <xf numFmtId="167" fontId="5" fillId="0" borderId="1" applyAlignment="1" pivotButton="0" quotePrefix="0" xfId="0">
      <alignment vertical="top" wrapText="1"/>
    </xf>
    <xf numFmtId="1" fontId="5" fillId="0" borderId="1" applyAlignment="1" pivotButton="0" quotePrefix="0" xfId="0">
      <alignment vertical="top" wrapText="1"/>
    </xf>
    <xf numFmtId="0" fontId="5" fillId="0" borderId="0" applyAlignment="1" pivotButton="0" quotePrefix="0" xfId="0">
      <alignment vertical="top" wrapText="1"/>
    </xf>
    <xf numFmtId="9" fontId="4" fillId="0" borderId="1" applyAlignment="1" pivotButton="0" quotePrefix="0" xfId="0">
      <alignment vertical="top" wrapText="1"/>
    </xf>
  </cellXfs>
  <cellStyles count="1">
    <cellStyle name="Normal" xfId="0" builtinId="0" hidden="0"/>
  </cellStyles>
  <dxfs count="3">
    <dxf>
      <fill>
        <patternFill patternType="solid">
          <fgColor rgb="00DCEFE0"/>
        </patternFill>
      </fill>
    </dxf>
    <dxf>
      <fill>
        <patternFill patternType="solid">
          <fgColor rgb="00FFF2CC"/>
        </patternFill>
      </fill>
    </dxf>
    <dxf>
      <fill>
        <patternFill patternType="solid">
          <fgColor rgb="00F8D7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D40"/>
  <sheetViews>
    <sheetView showGridLines="0" workbookViewId="0">
      <selection activeCell="A1" sqref="A1"/>
    </sheetView>
  </sheetViews>
  <sheetFormatPr baseColWidth="8" defaultRowHeight="15"/>
  <cols>
    <col width="4" customWidth="1" min="1" max="1"/>
    <col width="34" customWidth="1" min="2" max="2"/>
    <col width="62" customWidth="1" min="3" max="3"/>
    <col width="46" customWidth="1" min="4" max="4"/>
  </cols>
  <sheetData>
    <row r="1">
      <c r="B1" s="1" t="inlineStr">
        <is>
          <t>Strom 2027/28: Markt oder Grundversorgung</t>
        </is>
      </c>
    </row>
    <row r="2" ht="26" customHeight="1">
      <c r="B2" s="2" t="inlineStr">
        <is>
          <t>Vortrieb, Stand Oktober 2026. Entscheidungsvorlage zum Artikel «Strom und Gas 2027/28: Markt oder Grundversorgung entscheiden», mit Notfallblatt Gas.</t>
        </is>
      </c>
    </row>
    <row r="4">
      <c r="B4" s="3" t="inlineStr">
        <is>
          <t>So arbeiten Sie mit der Vorlage</t>
        </is>
      </c>
    </row>
    <row r="5" ht="44" customHeight="1">
      <c r="B5" s="4" t="inlineStr">
        <is>
          <t>1. Stammdaten</t>
        </is>
      </c>
      <c r="C5" s="5" t="inlineStr">
        <is>
          <t>Verbrauchsstätte, Netzbetreiber und Lieferjahr eintragen. Monatsverbrauch der letzten 12 Monate vor der letzten Ablesung erfassen, inklusive selbst erzeugtem und selbst verbrauchtem Strom. Die Vorlage prüft die Schwelle von 100 MWh.</t>
        </is>
      </c>
      <c r="D5" s="6" t="n"/>
    </row>
    <row r="6" ht="44" customHeight="1">
      <c r="B6" s="4" t="inlineStr">
        <is>
          <t>2. Fristen</t>
        </is>
      </c>
      <c r="C6" s="5" t="inlineStr">
        <is>
          <t>Rechnet aus dem Lieferjahr die Termine: Tarifpublikation bis 31. August, Meldefrist 31. Oktober, empfohlener Versandtermin und Lieferbeginn. Fällt der 31. Oktober auf ein Wochenende, zeigt das Blatt den Wochentag.</t>
        </is>
      </c>
      <c r="D6" s="6" t="n"/>
    </row>
    <row r="7" ht="44" customHeight="1">
      <c r="B7" s="4" t="inlineStr">
        <is>
          <t>3. Angebote</t>
        </is>
      </c>
      <c r="C7" s="5" t="inlineStr">
        <is>
          <t>Grundversorgungstarif (nur Energie) aus dem Tarifblatt Ihres Netzbetreibers eintragen, dann bis zu fünf Marktangebote. Die Vorlage rechnet Jahreskosten, Differenz und einen Stressfall für den nicht fixierten Anteil.</t>
        </is>
      </c>
      <c r="D7" s="6" t="n"/>
    </row>
    <row r="8" ht="44" customHeight="1">
      <c r="B8" s="4" t="inlineStr">
        <is>
          <t>4. Risiko</t>
        </is>
      </c>
      <c r="C8" s="5" t="inlineStr">
        <is>
          <t>Zehn Prüffragen zu Planbarkeit, Personal, Budget und Vertrag beantworten. Frage 8 (Endgültigkeit) ist ein Ausschlusskriterium.</t>
        </is>
      </c>
      <c r="D8" s="6" t="n"/>
    </row>
    <row r="9" ht="44" customHeight="1">
      <c r="B9" s="4" t="inlineStr">
        <is>
          <t>5. Entscheid</t>
        </is>
      </c>
      <c r="C9" s="5" t="inlineStr">
        <is>
          <t>Fasst Anspruch, bestes Angebot, Stressfall, Risikopunkte und Termin zusammen und gibt eine Empfehlung aus. Die Empfehlung ist eine Rechenhilfe, kein Rat.</t>
        </is>
      </c>
      <c r="D9" s="6" t="n"/>
    </row>
    <row r="10" ht="44" customHeight="1">
      <c r="B10" s="4" t="inlineStr">
        <is>
          <t>6. Mitteilung</t>
        </is>
      </c>
      <c r="C10" s="5" t="inlineStr">
        <is>
          <t>Textbaustein für die schriftliche Mitteilung an den Netzbetreiber. In Ihr Briefpapier kopieren, Zählpunkt ergänzen, mit Empfangsbestätigung senden.</t>
        </is>
      </c>
      <c r="D10" s="6" t="n"/>
    </row>
    <row r="11" ht="44" customHeight="1">
      <c r="B11" s="4" t="inlineStr">
        <is>
          <t>7. Notfallblatt_Gas</t>
        </is>
      </c>
      <c r="C11" s="5" t="inlineStr">
        <is>
          <t>Gasvertrag, Zweistoffanlage, Heizölvorrat, Umschalttest, Planung für eine Kontingentierung und Kontakte. Jährlich vor dem Winter aktualisieren.</t>
        </is>
      </c>
      <c r="D11" s="6" t="n"/>
    </row>
    <row r="13">
      <c r="B13" s="3" t="inlineStr">
        <is>
          <t>Farben</t>
        </is>
      </c>
    </row>
    <row r="14">
      <c r="B14" s="7" t="inlineStr">
        <is>
          <t>Grau hinterlegt: Eingabefeld</t>
        </is>
      </c>
      <c r="C14" s="5" t="inlineStr">
        <is>
          <t>Beispielwerte (Beispiel AG, fiktive Zahlen) überschreiben oder löschen.</t>
        </is>
      </c>
    </row>
    <row r="15">
      <c r="B15" s="5" t="inlineStr">
        <is>
          <t>Weiss: Formel</t>
        </is>
      </c>
      <c r="C15" s="5" t="inlineStr">
        <is>
          <t>Nicht überschreiben.</t>
        </is>
      </c>
    </row>
    <row r="16">
      <c r="B16" s="8" t="inlineStr">
        <is>
          <t>Rot oder Gelb: offener Punkt</t>
        </is>
      </c>
      <c r="C16" s="5" t="inlineStr">
        <is>
          <t>Frist knapp, Angebot läuft ab, Test fehlt oder Ausschlusskriterium.</t>
        </is>
      </c>
    </row>
    <row r="18">
      <c r="B18" s="3" t="inlineStr">
        <is>
          <t>Regeln auf einen Blick</t>
        </is>
      </c>
    </row>
    <row r="19">
      <c r="B19" s="9" t="inlineStr">
        <is>
          <t>Punkt</t>
        </is>
      </c>
      <c r="C19" s="9" t="inlineStr">
        <is>
          <t>Regel</t>
        </is>
      </c>
      <c r="D19" s="9" t="inlineStr">
        <is>
          <t>Quelle</t>
        </is>
      </c>
    </row>
    <row r="20" ht="40" customHeight="1">
      <c r="B20" s="4" t="inlineStr">
        <is>
          <t>Anspruch auf Netzzugang</t>
        </is>
      </c>
      <c r="C20" s="5" t="inlineStr">
        <is>
          <t>Ab 100 MWh Jahresverbrauch pro Verbrauchsstätte; unter 100 MWh feste Endverbraucher ohne Netzzugang</t>
        </is>
      </c>
      <c r="D20" s="5" t="inlineStr">
        <is>
          <t>Art. 6 Abs. 2 und 6 StromVG; Art. 11 StromVV</t>
        </is>
      </c>
    </row>
    <row r="21" ht="40" customHeight="1">
      <c r="B21" s="4" t="inlineStr">
        <is>
          <t>Massgebender Verbrauch</t>
        </is>
      </c>
      <c r="C21" s="5" t="inlineStr">
        <is>
          <t>Jahresverbrauch der letzten 12 Monate vor der letzten Ablesung, bezogene plus selbst erzeugte Energie</t>
        </is>
      </c>
      <c r="D21" s="5" t="inlineStr">
        <is>
          <t>Art. 11 Abs. 1 StromVV</t>
        </is>
      </c>
    </row>
    <row r="22" ht="40" customHeight="1">
      <c r="B22" s="4" t="inlineStr">
        <is>
          <t>Verbrauchsstätte</t>
        </is>
      </c>
      <c r="C22" s="5" t="inlineStr">
        <is>
          <t>Betriebsstätte mit wirtschaftlicher und örtlicher Einheit und eigenem Jahresverbrauch; Bündeln verschiedener Endverbraucher nicht zulässig</t>
        </is>
      </c>
      <c r="D22" s="5" t="inlineStr">
        <is>
          <t>Art. 11 Abs. 1 StromVV; ElCom, Fragen und Antworten (2013)</t>
        </is>
      </c>
    </row>
    <row r="23" ht="40" customHeight="1">
      <c r="B23" s="4" t="inlineStr">
        <is>
          <t>Meldefrist</t>
        </is>
      </c>
      <c r="C23" s="5" t="inlineStr">
        <is>
          <t>Mitteilung an den Verteilnetzbetreiber bis 31. Oktober, Netzzugang ab 1. Januar des Folgejahres</t>
        </is>
      </c>
      <c r="D23" s="5" t="inlineStr">
        <is>
          <t>Art. 11 Abs. 2 StromVV</t>
        </is>
      </c>
    </row>
    <row r="24" ht="40" customHeight="1">
      <c r="B24" s="4" t="inlineStr">
        <is>
          <t>Rückkehr</t>
        </is>
      </c>
      <c r="C24" s="5" t="inlineStr">
        <is>
          <t>Lieferpflicht des Netzbetreibers entfällt endgültig («einmal frei, immer frei»)</t>
        </is>
      </c>
      <c r="D24" s="5" t="inlineStr">
        <is>
          <t>Art. 11 Abs. 2 StromVV; ElCom (2013)</t>
        </is>
      </c>
    </row>
    <row r="25" ht="40" customHeight="1">
      <c r="B25" s="4" t="inlineStr">
        <is>
          <t>Tarifpublikation</t>
        </is>
      </c>
      <c r="C25" s="5" t="inlineStr">
        <is>
          <t>Netzbetreiber veröffentlichen Tarife bis 31. August für das Folgejahr</t>
        </is>
      </c>
      <c r="D25" s="5" t="inlineStr">
        <is>
          <t>Art. 7b Abs. 1 StromVV</t>
        </is>
      </c>
    </row>
    <row r="26" ht="40" customHeight="1">
      <c r="B26" s="4" t="inlineStr">
        <is>
          <t>Netznutzung</t>
        </is>
      </c>
      <c r="C26" s="5" t="inlineStr">
        <is>
          <t>Netznutzungsentgelt zahlen Endverbraucher je Ausspeisepunkt, auch im Markt</t>
        </is>
      </c>
      <c r="D26" s="5" t="inlineStr">
        <is>
          <t>Art. 14 Abs. 2 StromVG</t>
        </is>
      </c>
    </row>
    <row r="27" ht="40" customHeight="1">
      <c r="B27" s="4" t="inlineStr">
        <is>
          <t>Wechselkosten</t>
        </is>
      </c>
      <c r="C27" s="5" t="inlineStr">
        <is>
          <t>Netzbetreiber dürfen für den Lieferantenwechsel keine Kosten verlangen</t>
        </is>
      </c>
      <c r="D27" s="5" t="inlineStr">
        <is>
          <t>Art. 12 Abs. 3 StromVG</t>
        </is>
      </c>
    </row>
    <row r="28" ht="40" customHeight="1">
      <c r="B28" s="4" t="inlineStr">
        <is>
          <t>Gas</t>
        </is>
      </c>
      <c r="C28" s="5" t="inlineStr">
        <is>
          <t>Kein Gasversorgungsgesetz in Kraft; Vernehmlassung zum GasVG lief bis 19.12.2025</t>
        </is>
      </c>
      <c r="D28" s="5" t="inlineStr">
        <is>
          <t>Bundesrat, Medienmitteilung 19.09.2025</t>
        </is>
      </c>
    </row>
    <row r="29" ht="40" customHeight="1">
      <c r="B29" s="4" t="inlineStr">
        <is>
          <t>Gasmangellage</t>
        </is>
      </c>
      <c r="C29" s="5" t="inlineStr">
        <is>
          <t>Verordnungsentwürfe: Umschaltung Zweistoffanlagen, Kontingentierung Gewerbe und Industrie, Temperaturvorgaben für Raumwärme</t>
        </is>
      </c>
      <c r="D29" s="5" t="inlineStr">
        <is>
          <t>Bundesrat, Medienmitteilung 24.06.2026</t>
        </is>
      </c>
    </row>
    <row r="31">
      <c r="B31" s="3" t="inlineStr">
        <is>
          <t>Quellen (abgerufen 26.10.2026)</t>
        </is>
      </c>
    </row>
    <row r="32">
      <c r="B32" s="2" t="inlineStr">
        <is>
          <t>StromVV (SR 734.71), Stand 1.7.2026: https://www.fedlex.admin.ch/eli/cc/2008/226/de</t>
        </is>
      </c>
    </row>
    <row r="33">
      <c r="B33" s="2" t="inlineStr">
        <is>
          <t>StromVG (SR 734.7), Stand 1.1.2026: https://www.fedlex.admin.ch/eli/cc/2007/418/de</t>
        </is>
      </c>
    </row>
    <row r="34">
      <c r="B34" s="2" t="inlineStr">
        <is>
          <t>ElCom, Leicht sinkende Strompreise 2027, 08.09.2026: https://www.admin.ch/de/newnsb/1miE201yRzoA</t>
        </is>
      </c>
    </row>
    <row r="35">
      <c r="B35" s="2" t="inlineStr">
        <is>
          <t>ElCom, Tarifvergleich nach Gemeinde und Kategorie: https://www.strompreis.elcom.admin.ch/</t>
        </is>
      </c>
    </row>
    <row r="36">
      <c r="B36" s="2" t="inlineStr">
        <is>
          <t>ElCom, Fragen und Antworten Netzzugang und Lieferantenwechsel, 05.09.2013: https://www.elcom.admin.ch/dam/en/sd-web/6BO1l57782YQ/fragen_und_antwortennetzzugangundlieferantenwechselmarkteintritt.pdf</t>
        </is>
      </c>
    </row>
    <row r="37">
      <c r="B37" s="2" t="inlineStr">
        <is>
          <t>Bundesrat, Gas-Bewirtschaftung in einer Mangellage, 24.06.2026: https://www.admin.ch/de/newnsb/RLx2SC4UWf7UjSSASjdQC</t>
        </is>
      </c>
    </row>
    <row r="38">
      <c r="B38" s="2" t="inlineStr">
        <is>
          <t>Bundesrat, Stromabkommen: Eckwerte Grundversorgung, 28.01.2026: https://www.admin.ch/de/newnsb/zKLtOD1mnjdSTNbflQFdR</t>
        </is>
      </c>
    </row>
    <row r="40" ht="40" customHeight="1">
      <c r="B40" s="10" t="inlineStr">
        <is>
          <t>Diese Vorlage ersetzt keine Beratung im Einzelfall. Tarife, Fristen und Messanforderungen immer mit dem Tarifblatt und dem Netzbetreiber abgleichen. Ist der Stand älter als 12 Monate, die Regeln vor Verwendung an der Quelle prüfen.</t>
        </is>
      </c>
    </row>
  </sheetData>
  <mergeCells count="16">
    <mergeCell ref="B33:D33"/>
    <mergeCell ref="B36:D36"/>
    <mergeCell ref="C6:D6"/>
    <mergeCell ref="C7:D7"/>
    <mergeCell ref="C10:D10"/>
    <mergeCell ref="B37:D37"/>
    <mergeCell ref="C11:D11"/>
    <mergeCell ref="B32:D32"/>
    <mergeCell ref="C5:D5"/>
    <mergeCell ref="B35:D35"/>
    <mergeCell ref="B40:D40"/>
    <mergeCell ref="B2:D2"/>
    <mergeCell ref="C9:D9"/>
    <mergeCell ref="B38:D38"/>
    <mergeCell ref="C8:D8"/>
    <mergeCell ref="B34:D34"/>
  </mergeCells>
  <pageMargins left="0.75" right="0.75" top="1" bottom="1" header="0.5" footer="0.5"/>
  <pageSetup orientation="portrait" paperSize="9" fitToHeight="0" fitToWidth="1"/>
  <headerFooter>
    <oddHeader>&amp;R&amp;8 &amp;A</oddHeader>
    <oddFooter>&amp;C&amp;"Arial"&amp;8 Vortrieb · vortrieb.ch · Stand Oktober 2026 · ersetzt keine Beratung im Einzelfall</oddFooter>
    <evenHeader/>
    <evenFooter>&amp;C&amp;"Arial"&amp;8 Vortrieb · vortrieb.ch · Stand Oktober 2026 · ersetzt keine Beratung im Einzelfall</evenFooter>
    <firstHeader/>
    <firstFooter/>
  </headerFooter>
</worksheet>
</file>

<file path=xl/worksheets/sheet2.xml><?xml version="1.0" encoding="utf-8"?>
<worksheet xmlns="http://schemas.openxmlformats.org/spreadsheetml/2006/main">
  <sheetPr>
    <outlinePr summaryBelow="1" summaryRight="1"/>
    <pageSetUpPr fitToPage="1"/>
  </sheetPr>
  <dimension ref="A1:F39"/>
  <sheetViews>
    <sheetView showGridLines="0" workbookViewId="0">
      <selection activeCell="A1" sqref="A1"/>
    </sheetView>
  </sheetViews>
  <sheetFormatPr baseColWidth="8" defaultRowHeight="15"/>
  <cols>
    <col width="44" customWidth="1" min="1" max="1"/>
    <col width="22" customWidth="1" min="2" max="2"/>
    <col width="22" customWidth="1" min="3" max="3"/>
    <col width="18" customWidth="1" min="4" max="4"/>
    <col width="12" customWidth="1" min="5" max="5"/>
    <col width="40" customWidth="1" min="6" max="6"/>
  </cols>
  <sheetData>
    <row r="1">
      <c r="A1" s="1" t="inlineStr">
        <is>
          <t>Stammdaten und Verbrauch</t>
        </is>
      </c>
    </row>
    <row r="2">
      <c r="A2" s="2" t="inlineStr">
        <is>
          <t>Pro Verbrauchsstätte eine Kopie der Datei. Grau = Eingabe. Werte in Kupfer markiert sind Beispiele.</t>
        </is>
      </c>
    </row>
    <row r="3">
      <c r="A3" s="5" t="inlineStr">
        <is>
          <t>Firma</t>
        </is>
      </c>
      <c r="B3" s="7" t="inlineStr">
        <is>
          <t>Beispiel AG</t>
        </is>
      </c>
      <c r="C3" s="11" t="inlineStr">
        <is>
          <t>Beispiel</t>
        </is>
      </c>
    </row>
    <row r="4">
      <c r="A4" s="5" t="inlineStr">
        <is>
          <t>Verbrauchsstätte (Adresse)</t>
        </is>
      </c>
      <c r="B4" s="7" t="inlineStr">
        <is>
          <t>Werk Beispielstrasse 1, 0000 Beispielort</t>
        </is>
      </c>
      <c r="C4" s="11" t="inlineStr">
        <is>
          <t>Beispiel</t>
        </is>
      </c>
    </row>
    <row r="5">
      <c r="A5" s="5" t="inlineStr">
        <is>
          <t>Zählpunkt oder Messpunkt-Nr. (laut Rechnung)</t>
        </is>
      </c>
      <c r="B5" s="7" t="n"/>
    </row>
    <row r="6">
      <c r="A6" s="5" t="inlineStr">
        <is>
          <t>Verteilnetzbetreiber</t>
        </is>
      </c>
      <c r="B6" s="7" t="inlineStr">
        <is>
          <t>Beispiel Netz AG</t>
        </is>
      </c>
      <c r="C6" s="11" t="inlineStr">
        <is>
          <t>Beispiel</t>
        </is>
      </c>
    </row>
    <row r="7">
      <c r="A7" s="5" t="inlineStr">
        <is>
          <t>Lieferjahr, für das Sie entscheiden</t>
        </is>
      </c>
      <c r="B7" s="12" t="n">
        <v>2028</v>
      </c>
      <c r="C7" s="11" t="inlineStr">
        <is>
          <t>Beispiel</t>
        </is>
      </c>
    </row>
    <row r="8">
      <c r="A8" s="5" t="inlineStr">
        <is>
          <t>Stichtag (leer = heute)</t>
        </is>
      </c>
      <c r="B8" s="13" t="n"/>
      <c r="C8" s="14" t="inlineStr">
        <is>
          <t>Formel unten verwendet heute, wenn leer</t>
        </is>
      </c>
    </row>
    <row r="9">
      <c r="A9" s="5" t="inlineStr">
        <is>
          <t>Bereits im Markt (J/N)</t>
        </is>
      </c>
      <c r="B9" s="7" t="inlineStr">
        <is>
          <t>N</t>
        </is>
      </c>
    </row>
    <row r="10">
      <c r="A10" s="5" t="inlineStr">
        <is>
          <t>Bezug über schriftlichen, individuell ausgehandelten Liefervertrag (J/N)</t>
        </is>
      </c>
      <c r="B10" s="7" t="inlineStr">
        <is>
          <t>N</t>
        </is>
      </c>
    </row>
    <row r="11">
      <c r="A11" s="5" t="inlineStr">
        <is>
          <t>Stress-Aufschlag auf den nicht fixierten Anteil</t>
        </is>
      </c>
      <c r="B11" s="15" t="n">
        <v>0.5</v>
      </c>
      <c r="C11" s="14" t="inlineStr">
        <is>
          <t>Annahme der Redaktion, keine Norm</t>
        </is>
      </c>
    </row>
    <row r="12">
      <c r="A12" s="5" t="inlineStr">
        <is>
          <t>Puffer: Versand so viele Arbeitstage vor der Frist</t>
        </is>
      </c>
      <c r="B12" s="12" t="n">
        <v>5</v>
      </c>
    </row>
    <row r="13">
      <c r="A13" s="5" t="inlineStr">
        <is>
          <t>Datum der letzten Ablesung</t>
        </is>
      </c>
      <c r="B13" s="13" t="n"/>
    </row>
    <row r="14">
      <c r="A14" s="4" t="inlineStr">
        <is>
          <t>Stichtag verwendet</t>
        </is>
      </c>
      <c r="B14" s="16">
        <f>IF(B8="",TODAY(),B8)</f>
        <v/>
      </c>
    </row>
    <row r="16">
      <c r="A16" s="3" t="inlineStr">
        <is>
          <t>Verbrauch der letzten 12 Monate vor der letzten Ablesung</t>
        </is>
      </c>
    </row>
    <row r="17">
      <c r="A17" s="9" t="inlineStr">
        <is>
          <t>Monat</t>
        </is>
      </c>
      <c r="B17" s="9" t="inlineStr">
        <is>
          <t>Bezug ab Netz kWh</t>
        </is>
      </c>
      <c r="C17" s="9" t="inlineStr">
        <is>
          <t>Selbst erzeugt und selbst verbraucht kWh</t>
        </is>
      </c>
      <c r="D17" s="9" t="inlineStr">
        <is>
          <t>Total kWh</t>
        </is>
      </c>
      <c r="E17" s="9" t="inlineStr">
        <is>
          <t>Winter</t>
        </is>
      </c>
      <c r="F17" s="9" t="inlineStr">
        <is>
          <t>Bemerkung</t>
        </is>
      </c>
    </row>
    <row r="18">
      <c r="A18" s="5" t="inlineStr">
        <is>
          <t>Januar</t>
        </is>
      </c>
      <c r="B18" s="17" t="n">
        <v>38000</v>
      </c>
      <c r="C18" s="17" t="n">
        <v>500</v>
      </c>
      <c r="D18" s="18">
        <f>B18+C18</f>
        <v/>
      </c>
      <c r="E18" s="5" t="inlineStr">
        <is>
          <t>J</t>
        </is>
      </c>
      <c r="F18" s="19" t="inlineStr">
        <is>
          <t>Beispielwerte, fiktiv</t>
        </is>
      </c>
    </row>
    <row r="19">
      <c r="A19" s="5" t="inlineStr">
        <is>
          <t>Februar</t>
        </is>
      </c>
      <c r="B19" s="17" t="n">
        <v>36000</v>
      </c>
      <c r="C19" s="17" t="n">
        <v>900</v>
      </c>
      <c r="D19" s="18">
        <f>B19+C19</f>
        <v/>
      </c>
      <c r="E19" s="5" t="inlineStr">
        <is>
          <t>J</t>
        </is>
      </c>
      <c r="F19" s="7" t="n"/>
    </row>
    <row r="20">
      <c r="A20" s="5" t="inlineStr">
        <is>
          <t>März</t>
        </is>
      </c>
      <c r="B20" s="17" t="n">
        <v>35000</v>
      </c>
      <c r="C20" s="17" t="n">
        <v>1500</v>
      </c>
      <c r="D20" s="18">
        <f>B20+C20</f>
        <v/>
      </c>
      <c r="E20" s="5" t="inlineStr">
        <is>
          <t>J</t>
        </is>
      </c>
      <c r="F20" s="7" t="n"/>
    </row>
    <row r="21">
      <c r="A21" s="5" t="inlineStr">
        <is>
          <t>April</t>
        </is>
      </c>
      <c r="B21" s="17" t="n">
        <v>32000</v>
      </c>
      <c r="C21" s="17" t="n">
        <v>2200</v>
      </c>
      <c r="D21" s="18">
        <f>B21+C21</f>
        <v/>
      </c>
      <c r="E21" s="5" t="inlineStr">
        <is>
          <t>N</t>
        </is>
      </c>
      <c r="F21" s="7" t="n"/>
    </row>
    <row r="22">
      <c r="A22" s="5" t="inlineStr">
        <is>
          <t>Mai</t>
        </is>
      </c>
      <c r="B22" s="17" t="n">
        <v>30000</v>
      </c>
      <c r="C22" s="17" t="n">
        <v>2800</v>
      </c>
      <c r="D22" s="18">
        <f>B22+C22</f>
        <v/>
      </c>
      <c r="E22" s="5" t="inlineStr">
        <is>
          <t>N</t>
        </is>
      </c>
      <c r="F22" s="7" t="n"/>
    </row>
    <row r="23">
      <c r="A23" s="5" t="inlineStr">
        <is>
          <t>Juni</t>
        </is>
      </c>
      <c r="B23" s="17" t="n">
        <v>29000</v>
      </c>
      <c r="C23" s="17" t="n">
        <v>3000</v>
      </c>
      <c r="D23" s="18">
        <f>B23+C23</f>
        <v/>
      </c>
      <c r="E23" s="5" t="inlineStr">
        <is>
          <t>N</t>
        </is>
      </c>
      <c r="F23" s="7" t="n"/>
    </row>
    <row r="24">
      <c r="A24" s="5" t="inlineStr">
        <is>
          <t>Juli</t>
        </is>
      </c>
      <c r="B24" s="17" t="n">
        <v>28000</v>
      </c>
      <c r="C24" s="17" t="n">
        <v>3100</v>
      </c>
      <c r="D24" s="18">
        <f>B24+C24</f>
        <v/>
      </c>
      <c r="E24" s="5" t="inlineStr">
        <is>
          <t>N</t>
        </is>
      </c>
      <c r="F24" s="7" t="n"/>
    </row>
    <row r="25">
      <c r="A25" s="5" t="inlineStr">
        <is>
          <t>August</t>
        </is>
      </c>
      <c r="B25" s="17" t="n">
        <v>29000</v>
      </c>
      <c r="C25" s="17" t="n">
        <v>2700</v>
      </c>
      <c r="D25" s="18">
        <f>B25+C25</f>
        <v/>
      </c>
      <c r="E25" s="5" t="inlineStr">
        <is>
          <t>N</t>
        </is>
      </c>
      <c r="F25" s="7" t="n"/>
    </row>
    <row r="26">
      <c r="A26" s="5" t="inlineStr">
        <is>
          <t>September</t>
        </is>
      </c>
      <c r="B26" s="17" t="n">
        <v>31000</v>
      </c>
      <c r="C26" s="17" t="n">
        <v>1800</v>
      </c>
      <c r="D26" s="18">
        <f>B26+C26</f>
        <v/>
      </c>
      <c r="E26" s="5" t="inlineStr">
        <is>
          <t>N</t>
        </is>
      </c>
      <c r="F26" s="7" t="n"/>
    </row>
    <row r="27">
      <c r="A27" s="5" t="inlineStr">
        <is>
          <t>Oktober</t>
        </is>
      </c>
      <c r="B27" s="17" t="n">
        <v>34000</v>
      </c>
      <c r="C27" s="17" t="n">
        <v>900</v>
      </c>
      <c r="D27" s="18">
        <f>B27+C27</f>
        <v/>
      </c>
      <c r="E27" s="5" t="inlineStr">
        <is>
          <t>J</t>
        </is>
      </c>
      <c r="F27" s="7" t="n"/>
    </row>
    <row r="28">
      <c r="A28" s="5" t="inlineStr">
        <is>
          <t>November</t>
        </is>
      </c>
      <c r="B28" s="17" t="n">
        <v>37000</v>
      </c>
      <c r="C28" s="17" t="n">
        <v>400</v>
      </c>
      <c r="D28" s="18">
        <f>B28+C28</f>
        <v/>
      </c>
      <c r="E28" s="5" t="inlineStr">
        <is>
          <t>J</t>
        </is>
      </c>
      <c r="F28" s="7" t="n"/>
    </row>
    <row r="29">
      <c r="A29" s="5" t="inlineStr">
        <is>
          <t>Dezember</t>
        </is>
      </c>
      <c r="B29" s="17" t="n">
        <v>41000</v>
      </c>
      <c r="C29" s="17" t="n">
        <v>200</v>
      </c>
      <c r="D29" s="18">
        <f>B29+C29</f>
        <v/>
      </c>
      <c r="E29" s="5" t="inlineStr">
        <is>
          <t>J</t>
        </is>
      </c>
      <c r="F29" s="7" t="n"/>
    </row>
    <row r="30">
      <c r="A30" s="4" t="inlineStr">
        <is>
          <t>Total</t>
        </is>
      </c>
      <c r="B30" s="20">
        <f>SUM(B18:B29)</f>
        <v/>
      </c>
      <c r="C30" s="20">
        <f>SUM(C18:C29)</f>
        <v/>
      </c>
      <c r="D30" s="20">
        <f>SUM(D18:D29)</f>
        <v/>
      </c>
    </row>
    <row r="32">
      <c r="A32" s="3" t="inlineStr">
        <is>
          <t>Auswertung</t>
        </is>
      </c>
    </row>
    <row r="33">
      <c r="A33" s="4" t="inlineStr">
        <is>
          <t>Massgebender Jahresverbrauch kWh</t>
        </is>
      </c>
      <c r="B33" s="20">
        <f>D30</f>
        <v/>
      </c>
    </row>
    <row r="34">
      <c r="A34" s="5" t="inlineStr">
        <is>
          <t>Schwelle Netzzugang kWh (Art. 11 StromVV)</t>
        </is>
      </c>
      <c r="B34" s="18" t="n">
        <v>100000</v>
      </c>
    </row>
    <row r="35">
      <c r="A35" s="4" t="inlineStr">
        <is>
          <t>Anspruch auf Marktzugang</t>
        </is>
      </c>
      <c r="B35" s="4">
        <f>IF(ImMarkt="J","BEREITS IM MARKT",IF(IndivVertrag="J","INDIVIDUELLER VERTRAG: PRÜFEN",IF(B33&gt;=B34,"JA","NEIN")))</f>
        <v/>
      </c>
    </row>
    <row r="36">
      <c r="A36" s="5" t="inlineStr">
        <is>
          <t>Reserve über der Schwelle kWh</t>
        </is>
      </c>
      <c r="B36" s="18">
        <f>B33-B34</f>
        <v/>
      </c>
      <c r="C36" s="2" t="inlineStr">
        <is>
          <t>Gelb unter 20'000 kWh Reserve: knapp über der Schwelle, Verbrauchsprognose prüfen (Annahme der Redaktion).</t>
        </is>
      </c>
    </row>
    <row r="37">
      <c r="A37" s="5" t="inlineStr">
        <is>
          <t>Winteranteil (Oktober bis März)</t>
        </is>
      </c>
      <c r="B37" s="21">
        <f>IF(D30=0,0,SUMIF(E18:E29,"J",D18:D29)/D30)</f>
        <v/>
      </c>
    </row>
    <row r="38">
      <c r="A38" s="5" t="inlineStr">
        <is>
          <t>Höchste beanspruchte Leistung kW (laut Rechnung)</t>
        </is>
      </c>
      <c r="B38" s="12" t="n">
        <v>160</v>
      </c>
      <c r="C38" s="11" t="inlineStr">
        <is>
          <t>Beispiel</t>
        </is>
      </c>
    </row>
    <row r="39">
      <c r="A39" s="5" t="inlineStr">
        <is>
          <t>Benutzungsdauer Stunden pro Jahr</t>
        </is>
      </c>
      <c r="B39" s="18">
        <f>IF(B38&gt;0,B33/B38,"")</f>
        <v/>
      </c>
      <c r="C39" s="2" t="inlineStr">
        <is>
          <t>Hohe Werte heissen gleichmässiger Bezug; Lieferanten bewerten das Profil.</t>
        </is>
      </c>
    </row>
  </sheetData>
  <mergeCells count="3">
    <mergeCell ref="A2:F2"/>
    <mergeCell ref="C36:F36"/>
    <mergeCell ref="C39:F39"/>
  </mergeCells>
  <conditionalFormatting sqref="B35">
    <cfRule type="expression" priority="1" dxfId="0">
      <formula>$B$35="JA"</formula>
    </cfRule>
    <cfRule type="expression" priority="2" dxfId="1">
      <formula>$B$35&lt;&gt;"JA"</formula>
    </cfRule>
  </conditionalFormatting>
  <conditionalFormatting sqref="B36">
    <cfRule type="cellIs" priority="3" operator="lessThan" dxfId="1">
      <formula>20000</formula>
    </cfRule>
  </conditionalFormatting>
  <dataValidations count="4">
    <dataValidation sqref="B9 B10" showDropDown="0" showInputMessage="0" showErrorMessage="1" allowBlank="0" type="list">
      <formula1>"J,N"</formula1>
    </dataValidation>
    <dataValidation sqref="B7" showDropDown="0" showInputMessage="1" showErrorMessage="1" allowBlank="0" error="Lieferjahr zwischen 2027 und 2035." promptTitle="Lieferjahr" prompt="Jahr, ab dessen 1. Januar der Netzzugang gelten soll." type="whole" operator="between">
      <formula1>2027</formula1>
      <formula2>2035</formula2>
    </dataValidation>
    <dataValidation sqref="B11" showDropDown="0" showInputMessage="0" showErrorMessage="1" allowBlank="0" type="decimal" operator="between">
      <formula1>0</formula1>
      <formula2>3</formula2>
    </dataValidation>
    <dataValidation sqref="B18:C29" showDropDown="0" showInputMessage="0" showErrorMessage="1" allowBlank="0" error="Nur Werte ab 0 kWh." type="decimal" operator="greaterThanOrEqual">
      <formula1>0</formula1>
    </dataValidation>
  </dataValidations>
  <pageMargins left="0.75" right="0.75" top="1" bottom="1" header="0.5" footer="0.5"/>
  <pageSetup orientation="portrait" paperSize="9" fitToHeight="0" fitToWidth="1"/>
  <headerFooter>
    <oddHeader>&amp;R&amp;8 &amp;A</oddHeader>
    <oddFooter>&amp;C&amp;"Arial"&amp;8 Vortrieb · vortrieb.ch · Stand Oktober 2026 · ersetzt keine Beratung im Einzelfall</oddFooter>
    <evenHeader/>
    <evenFooter>&amp;C&amp;"Arial"&amp;8 Vortrieb · vortrieb.ch · Stand Oktober 2026 · ersetzt keine Beratung im Einzelfall</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showGridLines="0" workbookViewId="0">
      <selection activeCell="A1" sqref="A1"/>
    </sheetView>
  </sheetViews>
  <sheetFormatPr baseColWidth="8" defaultRowHeight="15"/>
  <cols>
    <col width="46" customWidth="1" min="1" max="1"/>
    <col width="16" customWidth="1" min="2" max="2"/>
    <col width="14" customWidth="1" min="3" max="3"/>
    <col width="60" customWidth="1" min="4" max="4"/>
  </cols>
  <sheetData>
    <row r="1">
      <c r="A1" s="1" t="inlineStr">
        <is>
          <t>Fristen für das gewählte Lieferjahr</t>
        </is>
      </c>
    </row>
    <row r="2">
      <c r="A2" s="2" t="inlineStr">
        <is>
          <t>Alle Daten rechnet die Vorlage aus dem Lieferjahr im Blatt Stammdaten. Feiertage sind nicht berücksichtigt.</t>
        </is>
      </c>
    </row>
    <row r="4">
      <c r="A4" s="9" t="inlineStr">
        <is>
          <t>Schritt</t>
        </is>
      </c>
      <c r="B4" s="9" t="inlineStr">
        <is>
          <t>Datum</t>
        </is>
      </c>
      <c r="C4" s="9" t="inlineStr">
        <is>
          <t>Wochentag</t>
        </is>
      </c>
      <c r="D4" s="9" t="inlineStr">
        <is>
          <t>Grundlage und Hinweis</t>
        </is>
      </c>
    </row>
    <row r="5" ht="30" customHeight="1">
      <c r="A5" s="5" t="inlineStr">
        <is>
          <t>Tarife Grundversorgung publiziert (spätestens)</t>
        </is>
      </c>
      <c r="B5" s="22">
        <f>DATE(Lieferjahr-1,8,31)</f>
        <v/>
      </c>
      <c r="C5" s="5">
        <f>CHOOSE(WEEKDAY(B5,2),"Montag","Dienstag","Mittwoch","Donnerstag","Freitag","Samstag","Sonntag")</f>
        <v/>
      </c>
      <c r="D5" s="5" t="inlineStr">
        <is>
          <t>Art. 7b Abs. 1 StromVV: Netzbetreiber veröffentlichen bis 31. August.</t>
        </is>
      </c>
    </row>
    <row r="6" ht="30" customHeight="1">
      <c r="A6" s="5" t="inlineStr">
        <is>
          <t>Angebote einholen ab</t>
        </is>
      </c>
      <c r="B6" s="22">
        <f>DATE(Lieferjahr-1,9,1)</f>
        <v/>
      </c>
      <c r="C6" s="5">
        <f>CHOOSE(WEEKDAY(B6,2),"Montag","Dienstag","Mittwoch","Donnerstag","Freitag","Samstag","Sonntag")</f>
        <v/>
      </c>
      <c r="D6" s="5" t="inlineStr">
        <is>
          <t>Empfehlung der Redaktion: Anfrage mit Lastgang der letzten 12 Monate.</t>
        </is>
      </c>
    </row>
    <row r="7" ht="30" customHeight="1">
      <c r="A7" s="5" t="inlineStr">
        <is>
          <t>Entscheid Geschäftsleitung bis</t>
        </is>
      </c>
      <c r="B7" s="22">
        <f>WORKDAY(B8,-5)</f>
        <v/>
      </c>
      <c r="C7" s="5">
        <f>CHOOSE(WEEKDAY(B7,2),"Montag","Dienstag","Mittwoch","Donnerstag","Freitag","Samstag","Sonntag")</f>
        <v/>
      </c>
      <c r="D7" s="5" t="inlineStr">
        <is>
          <t>Empfehlung: fünf Arbeitstage vor dem Versand.</t>
        </is>
      </c>
    </row>
    <row r="8" ht="30" customHeight="1">
      <c r="A8" s="5" t="inlineStr">
        <is>
          <t>Versand der Mitteilung spätestens</t>
        </is>
      </c>
      <c r="B8" s="22">
        <f>WORKDAY(B9+1,-Puffer)</f>
        <v/>
      </c>
      <c r="C8" s="5">
        <f>CHOOSE(WEEKDAY(B8,2),"Montag","Dienstag","Mittwoch","Donnerstag","Freitag","Samstag","Sonntag")</f>
        <v/>
      </c>
      <c r="D8" s="5" t="inlineStr">
        <is>
          <t>Puffer laut Stammdaten; schriftlich, mit Empfangsbestätigung.</t>
        </is>
      </c>
    </row>
    <row r="9" ht="30" customHeight="1">
      <c r="A9" s="4" t="inlineStr">
        <is>
          <t>Meldefrist Netzbetreiber</t>
        </is>
      </c>
      <c r="B9" s="16">
        <f>DATE(Lieferjahr-1,10,31)</f>
        <v/>
      </c>
      <c r="C9" s="5">
        <f>CHOOSE(WEEKDAY(B9,2),"Montag","Dienstag","Mittwoch","Donnerstag","Freitag","Samstag","Sonntag")</f>
        <v/>
      </c>
      <c r="D9" s="5" t="inlineStr">
        <is>
          <t>Art. 11 Abs. 2 StromVV: bis zum 31. Oktober.</t>
        </is>
      </c>
    </row>
    <row r="10" ht="30" customHeight="1">
      <c r="A10" s="5" t="inlineStr">
        <is>
          <t>Differenzen mit Netzbetreiber geklärt</t>
        </is>
      </c>
      <c r="B10" s="22">
        <f>DATE(Lieferjahr-1,11,15)</f>
        <v/>
      </c>
      <c r="C10" s="5">
        <f>CHOOSE(WEEKDAY(B10,2),"Montag","Dienstag","Mittwoch","Donnerstag","Freitag","Samstag","Sonntag")</f>
        <v/>
      </c>
      <c r="D10" s="5" t="inlineStr">
        <is>
          <t>ElCom (2013): spätestens Mitte November sollte klar sein, ob Differenzen bestehen.</t>
        </is>
      </c>
    </row>
    <row r="11" ht="30" customHeight="1">
      <c r="A11" s="5" t="inlineStr">
        <is>
          <t>Lieferbeginn im Markt</t>
        </is>
      </c>
      <c r="B11" s="22">
        <f>DATE(Lieferjahr,1,1)</f>
        <v/>
      </c>
      <c r="C11" s="5">
        <f>CHOOSE(WEEKDAY(B11,2),"Montag","Dienstag","Mittwoch","Donnerstag","Freitag","Samstag","Sonntag")</f>
        <v/>
      </c>
      <c r="D11" s="5" t="inlineStr">
        <is>
          <t>Netzzugang ab 1. Januar des Folgejahres.</t>
        </is>
      </c>
    </row>
    <row r="13">
      <c r="A13" s="4" t="inlineStr">
        <is>
          <t>Tage bis zur Meldefrist (ab Stichtag)</t>
        </is>
      </c>
      <c r="B13" s="23">
        <f>B9-Stichtag</f>
        <v/>
      </c>
    </row>
    <row r="14" ht="40" customHeight="1">
      <c r="A14" s="4" t="inlineStr">
        <is>
          <t>Status</t>
        </is>
      </c>
      <c r="B14" s="4">
        <f>IF(B13&lt;0,"FRIST VORBEI",IF(Stichtag&gt;B8,"VERSANDTERMIN ÜBERSCHRITTEN",IF(B13&lt;=14,"KNAPP","OK")))</f>
        <v/>
      </c>
      <c r="C14" s="6" t="n"/>
      <c r="D14" s="5" t="inlineStr">
        <is>
          <t>FRIST VORBEI: Lieferjahr in den Stammdaten um 1 erhöhen. KNAPP: nur melden, wenn Angebote und Freigabe schon vorliegen.</t>
        </is>
      </c>
    </row>
    <row r="16" ht="30" customHeight="1">
      <c r="A16" s="2" t="inlineStr">
        <is>
          <t>Fällt der 31. Oktober auf Samstag oder Sonntag (2026: Samstag, 2027: Sonntag), rechnen Sie nicht mit einer Verschiebung auf Montag. Die Vorlage legt den Versand auf Arbeitstage davor.</t>
        </is>
      </c>
    </row>
  </sheetData>
  <mergeCells count="3">
    <mergeCell ref="A16:D16"/>
    <mergeCell ref="B14:C14"/>
    <mergeCell ref="A2:D2"/>
  </mergeCells>
  <conditionalFormatting sqref="B14">
    <cfRule type="expression" priority="1" dxfId="0">
      <formula>$B$14="OK"</formula>
    </cfRule>
    <cfRule type="expression" priority="2" dxfId="2">
      <formula>$B$14&lt;&gt;"OK"</formula>
    </cfRule>
  </conditionalFormatting>
  <conditionalFormatting sqref="C9">
    <cfRule type="expression" priority="3" dxfId="1">
      <formula>WEEKDAY($B$9,2)&gt;5</formula>
    </cfRule>
  </conditionalFormatting>
  <pageMargins left="0.75" right="0.75" top="1" bottom="1" header="0.5" footer="0.5"/>
  <pageSetup orientation="portrait" paperSize="9" fitToHeight="0" fitToWidth="1"/>
  <headerFooter>
    <oddHeader>&amp;R&amp;8 &amp;A</oddHeader>
    <oddFooter>&amp;C&amp;"Arial"&amp;8 Vortrieb · vortrieb.ch · Stand Oktober 2026 · ersetzt keine Beratung im Einzelfall</oddFooter>
    <evenHeader/>
    <evenFooter>&amp;C&amp;"Arial"&amp;8 Vortrieb · vortrieb.ch · Stand Oktober 2026 · ersetzt keine Beratung im Einzelfall</evenFooter>
    <firstHeader/>
    <firstFooter/>
  </headerFooter>
</worksheet>
</file>

<file path=xl/worksheets/sheet4.xml><?xml version="1.0" encoding="utf-8"?>
<worksheet xmlns="http://schemas.openxmlformats.org/spreadsheetml/2006/main">
  <sheetPr>
    <outlinePr summaryBelow="1" summaryRight="1"/>
    <pageSetUpPr fitToPage="1"/>
  </sheetPr>
  <dimension ref="A1:S26"/>
  <sheetViews>
    <sheetView showGridLines="0" workbookViewId="0">
      <pane xSplit="1" ySplit="10" topLeftCell="B11" activePane="bottomRight" state="frozen"/>
      <selection pane="topRight"/>
      <selection pane="bottomLeft"/>
      <selection pane="bottomRight" activeCell="A1" sqref="A1"/>
    </sheetView>
  </sheetViews>
  <sheetFormatPr baseColWidth="8" defaultRowHeight="15"/>
  <cols>
    <col width="22" customWidth="1" min="1" max="1"/>
    <col width="18" customWidth="1" min="2" max="2"/>
    <col width="9" customWidth="1" min="3" max="3"/>
    <col width="11" customWidth="1" min="4" max="4"/>
    <col width="10" customWidth="1" min="5" max="5"/>
    <col width="12" customWidth="1" min="6" max="6"/>
    <col width="10" customWidth="1" min="7" max="7"/>
    <col width="12" customWidth="1" min="8" max="8"/>
    <col width="10" customWidth="1" min="9" max="9"/>
    <col width="12" customWidth="1" min="10" max="10"/>
    <col width="11" customWidth="1" min="11" max="11"/>
    <col width="13" customWidth="1" min="12" max="12"/>
    <col width="13" customWidth="1" min="13" max="13"/>
    <col width="10" customWidth="1" min="14" max="14"/>
    <col width="11" customWidth="1" min="15" max="15"/>
    <col width="13" customWidth="1" min="16" max="16"/>
    <col width="13" customWidth="1" min="17" max="17"/>
    <col width="26" customWidth="1" min="18" max="18"/>
    <col width="24" customWidth="1" min="19" max="19"/>
  </cols>
  <sheetData>
    <row r="1">
      <c r="A1" s="1" t="inlineStr">
        <is>
          <t>Grundversorgung gegen Marktangebote (nur Energie)</t>
        </is>
      </c>
    </row>
    <row r="2">
      <c r="A2" s="2" t="inlineStr">
        <is>
          <t>Netznutzung, Messung, Netzzuschlag und Abgaben zahlen Sie in beiden Fällen an den Netzbetreiber (Art. 14 Abs. 2 StromVG). Verglichen wird deshalb nur der Energieteil, ohne MWST.</t>
        </is>
      </c>
    </row>
    <row r="4">
      <c r="A4" s="5" t="inlineStr">
        <is>
          <t>Jahresverbrauch kWh (aus Stammdaten)</t>
        </is>
      </c>
      <c r="B4" s="24" t="n"/>
      <c r="C4" s="6" t="n"/>
      <c r="D4" s="20">
        <f>Verbrauch</f>
        <v/>
      </c>
      <c r="E4" s="6" t="n"/>
    </row>
    <row r="5">
      <c r="A5" s="5" t="inlineStr">
        <is>
          <t>Grundversorgung: Energietarif Rp./kWh</t>
        </is>
      </c>
      <c r="B5" s="24" t="n"/>
      <c r="C5" s="6" t="n"/>
      <c r="D5" s="25" t="n">
        <v>12</v>
      </c>
      <c r="E5" s="6" t="n"/>
      <c r="F5" s="11" t="inlineStr">
        <is>
          <t>Beispiel, fiktiv. Wert aus Tarifblatt Ihres Netzbetreibers</t>
        </is>
      </c>
    </row>
    <row r="6">
      <c r="A6" s="5" t="inlineStr">
        <is>
          <t>Grundversorgung: feste Energiegebühr CHF/Jahr</t>
        </is>
      </c>
      <c r="B6" s="24" t="n"/>
      <c r="C6" s="6" t="n"/>
      <c r="D6" s="26" t="n">
        <v>0</v>
      </c>
      <c r="E6" s="6" t="n"/>
    </row>
    <row r="7">
      <c r="A7" s="5" t="inlineStr">
        <is>
          <t>Quelle des Tarifs (Tarifblatt, Datum)</t>
        </is>
      </c>
      <c r="B7" s="24" t="n"/>
      <c r="C7" s="6" t="n"/>
      <c r="D7" s="7" t="n"/>
      <c r="E7" s="24" t="n"/>
      <c r="F7" s="24" t="n"/>
      <c r="G7" s="24" t="n"/>
      <c r="H7" s="24" t="n"/>
      <c r="I7" s="24" t="n"/>
      <c r="J7" s="6" t="n"/>
    </row>
    <row r="8">
      <c r="A8" s="4" t="inlineStr">
        <is>
          <t>Kosten Grundversorgung CHF/Jahr</t>
        </is>
      </c>
      <c r="B8" s="24" t="n"/>
      <c r="C8" s="6" t="n"/>
      <c r="D8" s="27">
        <f>D4*D5/100+D6</f>
        <v/>
      </c>
      <c r="E8" s="6" t="n"/>
      <c r="F8" s="2" t="inlineStr">
        <is>
          <t>Bei Hoch- und Niedertarif: Mischpreis aus Ihren Mengen eintragen.</t>
        </is>
      </c>
    </row>
    <row r="10" ht="54" customHeight="1">
      <c r="A10" s="9" t="inlineStr">
        <is>
          <t>Lieferant</t>
        </is>
      </c>
      <c r="B10" s="9" t="inlineStr">
        <is>
          <t>Produkt</t>
        </is>
      </c>
      <c r="C10" s="9" t="inlineStr">
        <is>
          <t>Laufzeit Jahre</t>
        </is>
      </c>
      <c r="D10" s="9" t="inlineStr">
        <is>
          <t>Fixpreis Rp./kWh</t>
        </is>
      </c>
      <c r="E10" s="9" t="inlineStr">
        <is>
          <t>Anteil fixiert</t>
        </is>
      </c>
      <c r="F10" s="9" t="inlineStr">
        <is>
          <t>Annahme offener Anteil Rp./kWh</t>
        </is>
      </c>
      <c r="G10" s="9" t="inlineStr">
        <is>
          <t>Zuschlag Herkunfts-nachweis Rp./kWh</t>
        </is>
      </c>
      <c r="H10" s="9" t="inlineStr">
        <is>
          <t>Grundgebühr CHF/Jahr</t>
        </is>
      </c>
      <c r="I10" s="9" t="inlineStr">
        <is>
          <t>Toleranz-band ±</t>
        </is>
      </c>
      <c r="J10" s="9" t="inlineStr">
        <is>
          <t>Angebot gültig bis</t>
        </is>
      </c>
      <c r="K10" s="9" t="inlineStr">
        <is>
          <t>Mischpreis Rp./kWh</t>
        </is>
      </c>
      <c r="L10" s="9" t="inlineStr">
        <is>
          <t>Kosten CHF/Jahr</t>
        </is>
      </c>
      <c r="M10" s="9" t="inlineStr">
        <is>
          <t>Differenz zu GV CHF</t>
        </is>
      </c>
      <c r="N10" s="9" t="inlineStr">
        <is>
          <t>Differenz %</t>
        </is>
      </c>
      <c r="O10" s="9" t="inlineStr">
        <is>
          <t>Mischpreis Stress Rp./kWh</t>
        </is>
      </c>
      <c r="P10" s="9" t="inlineStr">
        <is>
          <t>Kosten Stress CHF/Jahr</t>
        </is>
      </c>
      <c r="Q10" s="9" t="inlineStr">
        <is>
          <t>Differenz Stress CHF</t>
        </is>
      </c>
      <c r="R10" s="9" t="inlineStr">
        <is>
          <t>Bewertung</t>
        </is>
      </c>
      <c r="S10" s="9" t="inlineStr">
        <is>
          <t>Gültigkeit</t>
        </is>
      </c>
    </row>
    <row r="11">
      <c r="A11" s="7" t="inlineStr">
        <is>
          <t>Beispiel Lieferant A</t>
        </is>
      </c>
      <c r="B11" s="7" t="inlineStr">
        <is>
          <t>Fixpreis</t>
        </is>
      </c>
      <c r="C11" s="12" t="n">
        <v>3</v>
      </c>
      <c r="D11" s="25" t="n">
        <v>13.5</v>
      </c>
      <c r="E11" s="15" t="n">
        <v>1</v>
      </c>
      <c r="F11" s="25" t="n">
        <v>0</v>
      </c>
      <c r="G11" s="25" t="n">
        <v>0</v>
      </c>
      <c r="H11" s="26" t="n">
        <v>0</v>
      </c>
      <c r="I11" s="15" t="n">
        <v>0.1</v>
      </c>
      <c r="J11" s="13">
        <f>DATE(Lieferjahr-1,10,23)</f>
        <v/>
      </c>
      <c r="K11" s="28">
        <f>IF(A11="","",D11*E11+F11*(1-E11)+G11)</f>
        <v/>
      </c>
      <c r="L11" s="29">
        <f>IF(A11="","",Verbrauch*K11/100+H11)</f>
        <v/>
      </c>
      <c r="M11" s="29">
        <f>IF(A11="","",L11-GVKosten)</f>
        <v/>
      </c>
      <c r="N11" s="30">
        <f>IF(OR(A11="",GVKosten=0),"",M11/GVKosten)</f>
        <v/>
      </c>
      <c r="O11" s="28">
        <f>IF(A11="","",D11*E11+F11*(1+Stress)*(1-E11)+G11)</f>
        <v/>
      </c>
      <c r="P11" s="29">
        <f>IF(A11="","",Verbrauch*O11/100+H11)</f>
        <v/>
      </c>
      <c r="Q11" s="29">
        <f>IF(A11="","",P11-GVKosten)</f>
        <v/>
      </c>
      <c r="R11" s="5">
        <f>IF(A11="","",IF(P11&lt;=GVKosten,"günstiger, auch im Stress",IF(L11&lt;GVKosten,"nur ohne Stress günstiger","teurer als Grundversorgung")))</f>
        <v/>
      </c>
      <c r="S11" s="5">
        <f>IF(A11="","",IF(J11="","Datum fehlt",IF(J11&lt;Stichtag,"abgelaufen",IF(J11&lt;Versand,"Zusage vor Versand nötig","ok"))))</f>
        <v/>
      </c>
    </row>
    <row r="12">
      <c r="A12" s="7" t="inlineStr">
        <is>
          <t>Beispiel Lieferant B</t>
        </is>
      </c>
      <c r="B12" s="7" t="inlineStr">
        <is>
          <t>Tranchen</t>
        </is>
      </c>
      <c r="C12" s="12" t="n">
        <v>2</v>
      </c>
      <c r="D12" s="25" t="n">
        <v>13</v>
      </c>
      <c r="E12" s="15" t="n">
        <v>0.6</v>
      </c>
      <c r="F12" s="25" t="n">
        <v>12</v>
      </c>
      <c r="G12" s="25" t="n">
        <v>0</v>
      </c>
      <c r="H12" s="26" t="n">
        <v>0</v>
      </c>
      <c r="I12" s="15" t="n">
        <v>0.2</v>
      </c>
      <c r="J12" s="13">
        <f>DATE(Lieferjahr-1,10,28)</f>
        <v/>
      </c>
      <c r="K12" s="28">
        <f>IF(A12="","",D12*E12+F12*(1-E12)+G12)</f>
        <v/>
      </c>
      <c r="L12" s="29">
        <f>IF(A12="","",Verbrauch*K12/100+H12)</f>
        <v/>
      </c>
      <c r="M12" s="29">
        <f>IF(A12="","",L12-GVKosten)</f>
        <v/>
      </c>
      <c r="N12" s="30">
        <f>IF(OR(A12="",GVKosten=0),"",M12/GVKosten)</f>
        <v/>
      </c>
      <c r="O12" s="28">
        <f>IF(A12="","",D12*E12+F12*(1+Stress)*(1-E12)+G12)</f>
        <v/>
      </c>
      <c r="P12" s="29">
        <f>IF(A12="","",Verbrauch*O12/100+H12)</f>
        <v/>
      </c>
      <c r="Q12" s="29">
        <f>IF(A12="","",P12-GVKosten)</f>
        <v/>
      </c>
      <c r="R12" s="5">
        <f>IF(A12="","",IF(P12&lt;=GVKosten,"günstiger, auch im Stress",IF(L12&lt;GVKosten,"nur ohne Stress günstiger","teurer als Grundversorgung")))</f>
        <v/>
      </c>
      <c r="S12" s="5">
        <f>IF(A12="","",IF(J12="","Datum fehlt",IF(J12&lt;Stichtag,"abgelaufen",IF(J12&lt;Versand,"Zusage vor Versand nötig","ok"))))</f>
        <v/>
      </c>
    </row>
    <row r="13">
      <c r="A13" s="7" t="inlineStr">
        <is>
          <t>Beispiel Lieferant C</t>
        </is>
      </c>
      <c r="B13" s="7" t="inlineStr">
        <is>
          <t>Fixpreis</t>
        </is>
      </c>
      <c r="C13" s="12" t="n">
        <v>2</v>
      </c>
      <c r="D13" s="25" t="n">
        <v>11.4</v>
      </c>
      <c r="E13" s="15" t="n">
        <v>1</v>
      </c>
      <c r="F13" s="25" t="n">
        <v>0</v>
      </c>
      <c r="G13" s="25" t="n">
        <v>0</v>
      </c>
      <c r="H13" s="26" t="n">
        <v>1200</v>
      </c>
      <c r="I13" s="15" t="n">
        <v>0.1</v>
      </c>
      <c r="J13" s="13">
        <f>DATE(Lieferjahr-1,10,16)</f>
        <v/>
      </c>
      <c r="K13" s="28">
        <f>IF(A13="","",D13*E13+F13*(1-E13)+G13)</f>
        <v/>
      </c>
      <c r="L13" s="29">
        <f>IF(A13="","",Verbrauch*K13/100+H13)</f>
        <v/>
      </c>
      <c r="M13" s="29">
        <f>IF(A13="","",L13-GVKosten)</f>
        <v/>
      </c>
      <c r="N13" s="30">
        <f>IF(OR(A13="",GVKosten=0),"",M13/GVKosten)</f>
        <v/>
      </c>
      <c r="O13" s="28">
        <f>IF(A13="","",D13*E13+F13*(1+Stress)*(1-E13)+G13)</f>
        <v/>
      </c>
      <c r="P13" s="29">
        <f>IF(A13="","",Verbrauch*O13/100+H13)</f>
        <v/>
      </c>
      <c r="Q13" s="29">
        <f>IF(A13="","",P13-GVKosten)</f>
        <v/>
      </c>
      <c r="R13" s="5">
        <f>IF(A13="","",IF(P13&lt;=GVKosten,"günstiger, auch im Stress",IF(L13&lt;GVKosten,"nur ohne Stress günstiger","teurer als Grundversorgung")))</f>
        <v/>
      </c>
      <c r="S13" s="5">
        <f>IF(A13="","",IF(J13="","Datum fehlt",IF(J13&lt;Stichtag,"abgelaufen",IF(J13&lt;Versand,"Zusage vor Versand nötig","ok"))))</f>
        <v/>
      </c>
    </row>
    <row r="14">
      <c r="A14" s="7" t="n"/>
      <c r="B14" s="7" t="n"/>
      <c r="C14" s="12" t="n"/>
      <c r="D14" s="25" t="n"/>
      <c r="E14" s="15" t="n"/>
      <c r="F14" s="25" t="n"/>
      <c r="G14" s="25" t="n"/>
      <c r="H14" s="26" t="n"/>
      <c r="I14" s="15" t="n"/>
      <c r="J14" s="13" t="n"/>
      <c r="K14" s="28">
        <f>IF(A14="","",D14*E14+F14*(1-E14)+G14)</f>
        <v/>
      </c>
      <c r="L14" s="29">
        <f>IF(A14="","",Verbrauch*K14/100+H14)</f>
        <v/>
      </c>
      <c r="M14" s="29">
        <f>IF(A14="","",L14-GVKosten)</f>
        <v/>
      </c>
      <c r="N14" s="30">
        <f>IF(OR(A14="",GVKosten=0),"",M14/GVKosten)</f>
        <v/>
      </c>
      <c r="O14" s="28">
        <f>IF(A14="","",D14*E14+F14*(1+Stress)*(1-E14)+G14)</f>
        <v/>
      </c>
      <c r="P14" s="29">
        <f>IF(A14="","",Verbrauch*O14/100+H14)</f>
        <v/>
      </c>
      <c r="Q14" s="29">
        <f>IF(A14="","",P14-GVKosten)</f>
        <v/>
      </c>
      <c r="R14" s="5">
        <f>IF(A14="","",IF(P14&lt;=GVKosten,"günstiger, auch im Stress",IF(L14&lt;GVKosten,"nur ohne Stress günstiger","teurer als Grundversorgung")))</f>
        <v/>
      </c>
      <c r="S14" s="5">
        <f>IF(A14="","",IF(J14="","Datum fehlt",IF(J14&lt;Stichtag,"abgelaufen",IF(J14&lt;Versand,"Zusage vor Versand nötig","ok"))))</f>
        <v/>
      </c>
    </row>
    <row r="15">
      <c r="A15" s="7" t="n"/>
      <c r="B15" s="7" t="n"/>
      <c r="C15" s="12" t="n"/>
      <c r="D15" s="25" t="n"/>
      <c r="E15" s="15" t="n"/>
      <c r="F15" s="25" t="n"/>
      <c r="G15" s="25" t="n"/>
      <c r="H15" s="26" t="n"/>
      <c r="I15" s="15" t="n"/>
      <c r="J15" s="13" t="n"/>
      <c r="K15" s="28">
        <f>IF(A15="","",D15*E15+F15*(1-E15)+G15)</f>
        <v/>
      </c>
      <c r="L15" s="29">
        <f>IF(A15="","",Verbrauch*K15/100+H15)</f>
        <v/>
      </c>
      <c r="M15" s="29">
        <f>IF(A15="","",L15-GVKosten)</f>
        <v/>
      </c>
      <c r="N15" s="30">
        <f>IF(OR(A15="",GVKosten=0),"",M15/GVKosten)</f>
        <v/>
      </c>
      <c r="O15" s="28">
        <f>IF(A15="","",D15*E15+F15*(1+Stress)*(1-E15)+G15)</f>
        <v/>
      </c>
      <c r="P15" s="29">
        <f>IF(A15="","",Verbrauch*O15/100+H15)</f>
        <v/>
      </c>
      <c r="Q15" s="29">
        <f>IF(A15="","",P15-GVKosten)</f>
        <v/>
      </c>
      <c r="R15" s="5">
        <f>IF(A15="","",IF(P15&lt;=GVKosten,"günstiger, auch im Stress",IF(L15&lt;GVKosten,"nur ohne Stress günstiger","teurer als Grundversorgung")))</f>
        <v/>
      </c>
      <c r="S15" s="5">
        <f>IF(A15="","",IF(J15="","Datum fehlt",IF(J15&lt;Stichtag,"abgelaufen",IF(J15&lt;Versand,"Zusage vor Versand nötig","ok"))))</f>
        <v/>
      </c>
    </row>
    <row r="16">
      <c r="A16" s="11" t="inlineStr">
        <is>
          <t>Zeilen 11 bis 13: Beispiele, fiktive Werte</t>
        </is>
      </c>
    </row>
    <row r="18">
      <c r="A18" s="3" t="inlineStr">
        <is>
          <t>Auswertung</t>
        </is>
      </c>
    </row>
    <row r="19">
      <c r="A19" s="5" t="inlineStr">
        <is>
          <t>Anzahl Angebote</t>
        </is>
      </c>
      <c r="B19" s="24" t="n"/>
      <c r="C19" s="6" t="n"/>
      <c r="D19" s="31">
        <f>COUNTA(A11:A15)</f>
        <v/>
      </c>
    </row>
    <row r="20">
      <c r="A20" s="4" t="inlineStr">
        <is>
          <t>Tiefste Kosten CHF/Jahr</t>
        </is>
      </c>
      <c r="B20" s="24" t="n"/>
      <c r="C20" s="6" t="n"/>
      <c r="D20" s="27">
        <f>IF(D19=0,"",MIN(L11:L15))</f>
        <v/>
      </c>
      <c r="E20" s="6" t="n"/>
    </row>
    <row r="21">
      <c r="A21" s="5" t="inlineStr">
        <is>
          <t>Lieferant mit tiefsten Kosten</t>
        </is>
      </c>
      <c r="B21" s="24" t="n"/>
      <c r="C21" s="6" t="n"/>
      <c r="D21" s="5">
        <f>IF(D19=0,"",INDEX(A11:A15,MATCH(D20,L11:L15,0)))</f>
        <v/>
      </c>
      <c r="E21" s="24" t="n"/>
      <c r="F21" s="24" t="n"/>
      <c r="G21" s="6" t="n"/>
    </row>
    <row r="22">
      <c r="A22" s="4" t="inlineStr">
        <is>
          <t>Differenz zu Grundversorgung CHF/Jahr</t>
        </is>
      </c>
      <c r="B22" s="24" t="n"/>
      <c r="C22" s="6" t="n"/>
      <c r="D22" s="27">
        <f>IF(D19=0,"",D20-GVKosten)</f>
        <v/>
      </c>
      <c r="E22" s="6" t="n"/>
    </row>
    <row r="23">
      <c r="A23" s="5" t="inlineStr">
        <is>
          <t>Differenz im Stressfall (gleiches Angebot) CHF/Jahr</t>
        </is>
      </c>
      <c r="B23" s="24" t="n"/>
      <c r="C23" s="6" t="n"/>
      <c r="D23" s="29">
        <f>IF(D19=0,"",INDEX(Q11:Q15,MATCH(D20,L11:L15,0)))</f>
        <v/>
      </c>
      <c r="E23" s="6" t="n"/>
    </row>
    <row r="24">
      <c r="A24" s="5" t="inlineStr">
        <is>
          <t>Angebote günstiger auch im Stress</t>
        </is>
      </c>
      <c r="B24" s="24" t="n"/>
      <c r="C24" s="6" t="n"/>
      <c r="D24" s="31">
        <f>COUNTIF(R11:R15,"günstiger, auch im Stress")</f>
        <v/>
      </c>
    </row>
    <row r="26" ht="28" customHeight="1">
      <c r="A26" s="2" t="inlineStr">
        <is>
          <t>Stress: Der nicht fixierte Anteil wird mit dem Aufschlag aus den Stammdaten gerechnet. Fixpreisanteile bleiben gleich. Mehr- und Mindermengen ausserhalb des Toleranzbands rechnet die Vorlage nicht; lesen Sie die Preisregel im Vertrag.</t>
        </is>
      </c>
    </row>
  </sheetData>
  <mergeCells count="23">
    <mergeCell ref="D20:E20"/>
    <mergeCell ref="A21:C21"/>
    <mergeCell ref="D22:E22"/>
    <mergeCell ref="D6:E6"/>
    <mergeCell ref="A5:C5"/>
    <mergeCell ref="A23:C23"/>
    <mergeCell ref="A8:C8"/>
    <mergeCell ref="A22:C22"/>
    <mergeCell ref="A4:C4"/>
    <mergeCell ref="A20:C20"/>
    <mergeCell ref="A19:C19"/>
    <mergeCell ref="D21:G21"/>
    <mergeCell ref="D4:E4"/>
    <mergeCell ref="A24:C24"/>
    <mergeCell ref="D8:E8"/>
    <mergeCell ref="F8:L8"/>
    <mergeCell ref="D5:E5"/>
    <mergeCell ref="A6:C6"/>
    <mergeCell ref="D7:J7"/>
    <mergeCell ref="D23:E23"/>
    <mergeCell ref="A7:C7"/>
    <mergeCell ref="A26:S26"/>
    <mergeCell ref="A2:S2"/>
  </mergeCells>
  <conditionalFormatting sqref="R11:R15">
    <cfRule type="expression" priority="1" dxfId="0">
      <formula>$R11="günstiger, auch im Stress"</formula>
    </cfRule>
    <cfRule type="expression" priority="2" dxfId="2">
      <formula>$R11="teurer als Grundversorgung"</formula>
    </cfRule>
    <cfRule type="expression" priority="3" dxfId="1">
      <formula>$R11="nur ohne Stress günstiger"</formula>
    </cfRule>
  </conditionalFormatting>
  <conditionalFormatting sqref="S11:S15">
    <cfRule type="expression" priority="4" dxfId="2">
      <formula>AND($S11&lt;&gt;"",$S11&lt;&gt;"ok")</formula>
    </cfRule>
  </conditionalFormatting>
  <dataValidations count="2">
    <dataValidation sqref="B11:B15" showDropDown="0" showInputMessage="0" showErrorMessage="1" allowBlank="1" type="list">
      <formula1>"Fixpreis,Tranchen,Spotindexiert,Andere"</formula1>
    </dataValidation>
    <dataValidation sqref="E11:E15" showDropDown="0" showInputMessage="1" showErrorMessage="1" allowBlank="1" error="Anteil zwischen 0 % und 100 %." promptTitle="Anteil fixiert" prompt="Fixpreis: 100 %. Spotindexiert: 0 %. Tranchen: bereits fixierter Anteil." type="decimal" operator="between">
      <formula1>0</formula1>
      <formula2>1</formula2>
    </dataValidation>
  </dataValidations>
  <pageMargins left="0.75" right="0.75" top="1" bottom="1" header="0.5" footer="0.5"/>
  <pageSetup orientation="landscape" paperSize="9" fitToHeight="0" fitToWidth="1"/>
  <headerFooter>
    <oddHeader>&amp;R&amp;8 &amp;A</oddHeader>
    <oddFooter>&amp;C&amp;"Arial"&amp;8 Vortrieb · vortrieb.ch · Stand Oktober 2026 · ersetzt keine Beratung im Einzelfall</oddFooter>
    <evenHeader/>
    <evenFooter>&amp;C&amp;"Arial"&amp;8 Vortrieb · vortrieb.ch · Stand Oktober 2026 · ersetzt keine Beratung im Einzelfall</evenFooter>
    <firstHeader/>
    <firstFooter/>
  </headerFooter>
</worksheet>
</file>

<file path=xl/worksheets/sheet5.xml><?xml version="1.0" encoding="utf-8"?>
<worksheet xmlns="http://schemas.openxmlformats.org/spreadsheetml/2006/main">
  <sheetPr>
    <outlinePr summaryBelow="1" summaryRight="1"/>
    <pageSetUpPr fitToPage="1"/>
  </sheetPr>
  <dimension ref="A1:F19"/>
  <sheetViews>
    <sheetView showGridLines="0" workbookViewId="0">
      <selection activeCell="A1" sqref="A1"/>
    </sheetView>
  </sheetViews>
  <sheetFormatPr baseColWidth="8" defaultRowHeight="15"/>
  <cols>
    <col width="5" customWidth="1" min="1" max="1"/>
    <col width="70" customWidth="1" min="2" max="2"/>
    <col width="10" customWidth="1" min="3" max="3"/>
    <col width="12" customWidth="1" min="4" max="4"/>
    <col width="8" customWidth="1" min="5" max="5"/>
    <col width="46" customWidth="1" min="6" max="6"/>
  </cols>
  <sheetData>
    <row r="1">
      <c r="A1" s="1" t="inlineStr">
        <is>
          <t>Risiko und Rückkehrsperre</t>
        </is>
      </c>
    </row>
    <row r="2">
      <c r="A2" s="2" t="inlineStr">
        <is>
          <t>Der Austritt aus der Grundversorgung ist endgültig (Art. 11 Abs. 2 StromVV). Beantworten Sie jede Frage mit J oder N. Fragen 1 und 6 rechnet die Vorlage.</t>
        </is>
      </c>
    </row>
    <row r="4">
      <c r="A4" s="9" t="inlineStr">
        <is>
          <t>Nr.</t>
        </is>
      </c>
      <c r="B4" s="9" t="inlineStr">
        <is>
          <t>Prüffrage</t>
        </is>
      </c>
      <c r="C4" s="9" t="inlineStr">
        <is>
          <t>Antwort</t>
        </is>
      </c>
      <c r="D4" s="9" t="inlineStr">
        <is>
          <t>Für Markt spricht</t>
        </is>
      </c>
      <c r="E4" s="9" t="inlineStr">
        <is>
          <t>Punkt</t>
        </is>
      </c>
      <c r="F4" s="9" t="inlineStr">
        <is>
          <t>Hinweis</t>
        </is>
      </c>
    </row>
    <row r="5" ht="30" customHeight="1">
      <c r="A5" s="31" t="n">
        <v>1</v>
      </c>
      <c r="B5" s="5" t="inlineStr">
        <is>
          <t>Liegt mindestens ein Angebot vor, das auch im Stressfall nicht teurer ist als die Grundversorgung?</t>
        </is>
      </c>
      <c r="C5" s="5">
        <f>IF(AnzStressfest&gt;0,"J","N")</f>
        <v/>
      </c>
      <c r="D5" s="5" t="inlineStr">
        <is>
          <t>J</t>
        </is>
      </c>
      <c r="E5" s="31">
        <f>IF(C5=D5,1,0)</f>
        <v/>
      </c>
      <c r="F5" s="5" t="inlineStr">
        <is>
          <t>Aus Blatt Angebote.</t>
        </is>
      </c>
    </row>
    <row r="6" ht="30" customHeight="1">
      <c r="A6" s="31" t="n">
        <v>2</v>
      </c>
      <c r="B6" s="5" t="inlineStr">
        <is>
          <t>Ist der Verbrauch für die Vertragslaufzeit planbar, innerhalb des Toleranzbands?</t>
        </is>
      </c>
      <c r="C6" s="7" t="inlineStr">
        <is>
          <t>J</t>
        </is>
      </c>
      <c r="D6" s="5" t="inlineStr">
        <is>
          <t>J</t>
        </is>
      </c>
      <c r="E6" s="31">
        <f>IF(C6=D6,1,0)</f>
        <v/>
      </c>
      <c r="F6" s="5" t="inlineStr">
        <is>
          <t>Ausbau, Schichtwechsel, neue Anlagen, PV-Ausbau berücksichtigen.</t>
        </is>
      </c>
    </row>
    <row r="7" ht="30" customHeight="1">
      <c r="A7" s="31" t="n">
        <v>3</v>
      </c>
      <c r="B7" s="5" t="inlineStr">
        <is>
          <t>Bleibt die Verbrauchsstätte voraussichtlich mindestens fünf Jahre bestehen?</t>
        </is>
      </c>
      <c r="C7" s="7" t="inlineStr">
        <is>
          <t>J</t>
        </is>
      </c>
      <c r="D7" s="5" t="inlineStr">
        <is>
          <t>J</t>
        </is>
      </c>
      <c r="E7" s="31">
        <f>IF(C7=D7,1,0)</f>
        <v/>
      </c>
      <c r="F7" s="5" t="inlineStr">
        <is>
          <t>Die Rückkehr ist ausgeschlossen, auch bei einem neuen Mieter am Standort prüfen.</t>
        </is>
      </c>
    </row>
    <row r="8" ht="30" customHeight="1">
      <c r="A8" s="31" t="n">
        <v>4</v>
      </c>
      <c r="B8" s="5" t="inlineStr">
        <is>
          <t>Gibt es eine verantwortliche Person mit Zeit für die jährliche Beschaffung?</t>
        </is>
      </c>
      <c r="C8" s="7" t="inlineStr">
        <is>
          <t>N</t>
        </is>
      </c>
      <c r="D8" s="5" t="inlineStr">
        <is>
          <t>J</t>
        </is>
      </c>
      <c r="E8" s="31">
        <f>IF(C8=D8,1,0)</f>
        <v/>
      </c>
      <c r="F8" s="5" t="inlineStr">
        <is>
          <t>Ausschreibung, Vertrag, Rechnungskontrolle, Tranchen.</t>
        </is>
      </c>
    </row>
    <row r="9" ht="30" customHeight="1">
      <c r="A9" s="31" t="n">
        <v>5</v>
      </c>
      <c r="B9" s="5" t="inlineStr">
        <is>
          <t>Verträgt das Budget den Stressfall aus Blatt Angebote ohne Massnahmen?</t>
        </is>
      </c>
      <c r="C9" s="7" t="inlineStr">
        <is>
          <t>J</t>
        </is>
      </c>
      <c r="D9" s="5" t="inlineStr">
        <is>
          <t>J</t>
        </is>
      </c>
      <c r="E9" s="31">
        <f>IF(C9=D9,1,0)</f>
        <v/>
      </c>
      <c r="F9" s="5" t="inlineStr">
        <is>
          <t>Mit Finanzleitung abstimmen.</t>
        </is>
      </c>
    </row>
    <row r="10" ht="30" customHeight="1">
      <c r="A10" s="31" t="n">
        <v>6</v>
      </c>
      <c r="B10" s="5" t="inlineStr">
        <is>
          <t>Liegen mindestens drei vergleichbare Angebote vor?</t>
        </is>
      </c>
      <c r="C10" s="5">
        <f>IF(AnzAngebote&gt;=3,"J","N")</f>
        <v/>
      </c>
      <c r="D10" s="5" t="inlineStr">
        <is>
          <t>J</t>
        </is>
      </c>
      <c r="E10" s="31">
        <f>IF(C10=D10,1,0)</f>
        <v/>
      </c>
      <c r="F10" s="5" t="inlineStr">
        <is>
          <t>Aus Blatt Angebote.</t>
        </is>
      </c>
    </row>
    <row r="11" ht="30" customHeight="1">
      <c r="A11" s="31" t="n">
        <v>7</v>
      </c>
      <c r="B11" s="5" t="inlineStr">
        <is>
          <t>Sind Messung und allfällige Messkosten mit dem Netzbetreiber geklärt?</t>
        </is>
      </c>
      <c r="C11" s="7" t="inlineStr">
        <is>
          <t>J</t>
        </is>
      </c>
      <c r="D11" s="5" t="inlineStr">
        <is>
          <t>J</t>
        </is>
      </c>
      <c r="E11" s="31">
        <f>IF(C11=D11,1,0)</f>
        <v/>
      </c>
      <c r="F11" s="5" t="inlineStr">
        <is>
          <t>Lastgangmessung; Kosten trägt der Endverbraucher (ElCom 2013).</t>
        </is>
      </c>
    </row>
    <row r="12" ht="30" customHeight="1">
      <c r="A12" s="31" t="n">
        <v>8</v>
      </c>
      <c r="B12" s="5" t="inlineStr">
        <is>
          <t>Hat die Geschäftsleitung die Endgültigkeit des Austritts schriftlich zur Kenntnis genommen?</t>
        </is>
      </c>
      <c r="C12" s="7" t="inlineStr">
        <is>
          <t>J</t>
        </is>
      </c>
      <c r="D12" s="5" t="inlineStr">
        <is>
          <t>J</t>
        </is>
      </c>
      <c r="E12" s="31">
        <f>IF(C12=D12,1,0)</f>
        <v/>
      </c>
      <c r="F12" s="5" t="inlineStr">
        <is>
          <t>AUSSCHLUSSKRITERIUM: bei N nicht melden.</t>
        </is>
      </c>
    </row>
    <row r="13" ht="30" customHeight="1">
      <c r="A13" s="31" t="n">
        <v>9</v>
      </c>
      <c r="B13" s="5" t="inlineStr">
        <is>
          <t>Sind Laufzeit, Kündigung, Toleranzband und Preis für Mehr- und Mindermengen im Vertrag klar?</t>
        </is>
      </c>
      <c r="C13" s="7" t="inlineStr">
        <is>
          <t>N</t>
        </is>
      </c>
      <c r="D13" s="5" t="inlineStr">
        <is>
          <t>J</t>
        </is>
      </c>
      <c r="E13" s="31">
        <f>IF(C13=D13,1,0)</f>
        <v/>
      </c>
      <c r="F13" s="5" t="inlineStr">
        <is>
          <t>Schriftlich bestätigen lassen.</t>
        </is>
      </c>
    </row>
    <row r="14" ht="30" customHeight="1">
      <c r="A14" s="31" t="n">
        <v>10</v>
      </c>
      <c r="B14" s="5" t="inlineStr">
        <is>
          <t>Ist geregelt, wie eigene Produktion (z. B. PV) im Liefervertrag behandelt wird?</t>
        </is>
      </c>
      <c r="C14" s="7" t="inlineStr">
        <is>
          <t>J</t>
        </is>
      </c>
      <c r="D14" s="5" t="inlineStr">
        <is>
          <t>J</t>
        </is>
      </c>
      <c r="E14" s="31">
        <f>IF(C14=D14,1,0)</f>
        <v/>
      </c>
      <c r="F14" s="5" t="inlineStr">
        <is>
          <t>Nur relevant mit Eigenproduktion; sonst J.</t>
        </is>
      </c>
    </row>
    <row r="15">
      <c r="B15" s="11" t="inlineStr">
        <is>
          <t>Antworten in den grauen Feldern sind Beispiele.</t>
        </is>
      </c>
    </row>
    <row r="17">
      <c r="B17" s="4" t="inlineStr">
        <is>
          <t>Punkte (von 10)</t>
        </is>
      </c>
      <c r="C17" s="23">
        <f>SUM(E5:E14)</f>
        <v/>
      </c>
    </row>
    <row r="18">
      <c r="B18" s="4" t="inlineStr">
        <is>
          <t>Ausschlusskriterium Frage 8 erfüllt</t>
        </is>
      </c>
      <c r="C18" s="4">
        <f>IF(C12="J","J","N")</f>
        <v/>
      </c>
    </row>
    <row r="19">
      <c r="B19" s="4" t="inlineStr">
        <is>
          <t>Einordnung</t>
        </is>
      </c>
      <c r="C19" s="4">
        <f>IF(C18="N","NICHT MELDEN",IF(C17&gt;=9,"BEREIT",IF(C17&gt;=6,"VORBEREITEN","GRUNDVERSORGUNG")))</f>
        <v/>
      </c>
      <c r="D19" s="6" t="n"/>
      <c r="F19" s="2" t="inlineStr">
        <is>
          <t>Schwellen 9 und 6 Punkte: Annahme der Redaktion.</t>
        </is>
      </c>
    </row>
  </sheetData>
  <mergeCells count="2">
    <mergeCell ref="A2:F2"/>
    <mergeCell ref="C19:D19"/>
  </mergeCells>
  <conditionalFormatting sqref="C5:C14">
    <cfRule type="expression" priority="1" dxfId="1">
      <formula>$C5="N"</formula>
    </cfRule>
  </conditionalFormatting>
  <conditionalFormatting sqref="C12">
    <cfRule type="expression" priority="2" dxfId="2">
      <formula>$C$12="N"</formula>
    </cfRule>
  </conditionalFormatting>
  <dataValidations count="1">
    <dataValidation sqref="C6 C7 C8 C9 C11 C12 C13 C14" showDropDown="0" showInputMessage="0" showErrorMessage="1" allowBlank="0" type="list">
      <formula1>"J,N"</formula1>
    </dataValidation>
  </dataValidations>
  <pageMargins left="0.75" right="0.75" top="1" bottom="1" header="0.5" footer="0.5"/>
  <pageSetup orientation="portrait" paperSize="9" fitToHeight="0" fitToWidth="1"/>
  <headerFooter>
    <oddHeader>&amp;R&amp;8 &amp;A</oddHeader>
    <oddFooter>&amp;C&amp;"Arial"&amp;8 Vortrieb · vortrieb.ch · Stand Oktober 2026 · ersetzt keine Beratung im Einzelfall</oddFooter>
    <evenHeader/>
    <evenFooter>&amp;C&amp;"Arial"&amp;8 Vortrieb · vortrieb.ch · Stand Oktober 2026 · ersetzt keine Beratung im Einzelfall</evenFooter>
    <firstHeader/>
    <firstFooter/>
  </headerFooter>
</worksheet>
</file>

<file path=xl/worksheets/sheet6.xml><?xml version="1.0" encoding="utf-8"?>
<worksheet xmlns="http://schemas.openxmlformats.org/spreadsheetml/2006/main">
  <sheetPr>
    <outlinePr summaryBelow="1" summaryRight="1"/>
    <pageSetUpPr fitToPage="1"/>
  </sheetPr>
  <dimension ref="A1:C27"/>
  <sheetViews>
    <sheetView showGridLines="0" workbookViewId="0">
      <selection activeCell="A1" sqref="A1"/>
    </sheetView>
  </sheetViews>
  <sheetFormatPr baseColWidth="8" defaultRowHeight="15"/>
  <cols>
    <col width="48" customWidth="1" min="1" max="1"/>
    <col width="30" customWidth="1" min="2" max="2"/>
    <col width="50" customWidth="1" min="3" max="3"/>
  </cols>
  <sheetData>
    <row r="1">
      <c r="A1" s="1" t="inlineStr">
        <is>
          <t>Entscheid auf einen Blick</t>
        </is>
      </c>
    </row>
    <row r="2">
      <c r="A2" s="2" t="inlineStr">
        <is>
          <t>Alles wird aus den anderen Blättern gerechnet. Ausdrucken, mit Datum und Visum der Geschäftsleitung ablegen.</t>
        </is>
      </c>
    </row>
    <row r="4">
      <c r="A4" s="5" t="inlineStr">
        <is>
          <t>Firma</t>
        </is>
      </c>
      <c r="B4" s="5">
        <f>Stammdaten!B3</f>
        <v/>
      </c>
    </row>
    <row r="5">
      <c r="A5" s="5" t="inlineStr">
        <is>
          <t>Verbrauchsstätte</t>
        </is>
      </c>
      <c r="B5" s="5">
        <f>Stammdaten!B4</f>
        <v/>
      </c>
    </row>
    <row r="6">
      <c r="A6" s="5" t="inlineStr">
        <is>
          <t>Lieferjahr</t>
        </is>
      </c>
      <c r="B6" s="31">
        <f>Lieferjahr</f>
        <v/>
      </c>
    </row>
    <row r="7">
      <c r="A7" s="5" t="inlineStr">
        <is>
          <t>Massgebender Jahresverbrauch kWh</t>
        </is>
      </c>
      <c r="B7" s="18">
        <f>Verbrauch</f>
        <v/>
      </c>
    </row>
    <row r="8">
      <c r="A8" s="5" t="inlineStr">
        <is>
          <t>Anspruch auf Marktzugang</t>
        </is>
      </c>
      <c r="B8" s="5">
        <f>Anspruch</f>
        <v/>
      </c>
    </row>
    <row r="9">
      <c r="A9" s="5" t="inlineStr">
        <is>
          <t>Meldefrist</t>
        </is>
      </c>
      <c r="B9" s="22">
        <f>Frist</f>
        <v/>
      </c>
    </row>
    <row r="10">
      <c r="A10" s="5" t="inlineStr">
        <is>
          <t>Versand spätestens</t>
        </is>
      </c>
      <c r="B10" s="22">
        <f>Versand</f>
        <v/>
      </c>
    </row>
    <row r="11">
      <c r="A11" s="5" t="inlineStr">
        <is>
          <t>Status Frist</t>
        </is>
      </c>
      <c r="B11" s="5">
        <f>Fristen!B14</f>
        <v/>
      </c>
    </row>
    <row r="12">
      <c r="A12" s="5" t="inlineStr">
        <is>
          <t>Kosten Grundversorgung CHF/Jahr (Energie)</t>
        </is>
      </c>
      <c r="B12" s="29">
        <f>GVKosten</f>
        <v/>
      </c>
    </row>
    <row r="13">
      <c r="A13" s="5" t="inlineStr">
        <is>
          <t>Günstigstes Angebot</t>
        </is>
      </c>
      <c r="B13" s="5">
        <f>BesterLieferant</f>
        <v/>
      </c>
    </row>
    <row r="14">
      <c r="A14" s="5" t="inlineStr">
        <is>
          <t>Differenz zu Grundversorgung CHF/Jahr</t>
        </is>
      </c>
      <c r="B14" s="29">
        <f>BesteDiff</f>
        <v/>
      </c>
    </row>
    <row r="15">
      <c r="A15" s="5" t="inlineStr">
        <is>
          <t>Differenz im Stressfall CHF/Jahr</t>
        </is>
      </c>
      <c r="B15" s="29">
        <f>BesteDiffStress</f>
        <v/>
      </c>
    </row>
    <row r="16">
      <c r="A16" s="5" t="inlineStr">
        <is>
          <t>Risikopunkte (von 10)</t>
        </is>
      </c>
      <c r="B16" s="31">
        <f>Punkte</f>
        <v/>
      </c>
    </row>
    <row r="17">
      <c r="A17" s="5" t="inlineStr">
        <is>
          <t>Einordnung Risiko</t>
        </is>
      </c>
      <c r="B17" s="5">
        <f>Einordnung</f>
        <v/>
      </c>
    </row>
    <row r="19">
      <c r="A19" s="4" t="inlineStr">
        <is>
          <t>Empfehlung der Vorlage</t>
        </is>
      </c>
      <c r="B19" s="4">
        <f>IF(Anspruch&lt;&gt;"JA","KEIN ENTSCHEID NÖTIG",IF(Fristen!B14="FRIST VORBEI","LIEFERJAHR ANPASSEN",IF(KO="N","NICHT MELDEN",IF(AnzAngebote=0,"ANGEBOTE EINHOLEN",IF(AND(Punkte&gt;=9,BesteDiffStress&lt;=0),"MARKT PRÜFEN UND MELDEN",IF(BesteDiff&gt;=0,"GRUNDVERSORGUNG BEHALTEN",IF(Punkte&gt;=6,"MIT FACHPERSON ENTSCHEIDEN","GRUNDVERSORGUNG BEHALTEN")))))))</f>
        <v/>
      </c>
      <c r="C19" s="6" t="n"/>
    </row>
    <row r="21" ht="54" customHeight="1">
      <c r="A21" s="2" t="inlineStr">
        <is>
          <t>Logik: Markt nur, wenn Anspruch besteht, Frist offen ist, die Endgültigkeit freigegeben ist, mindestens 9 Risikopunkte erreicht sind und das günstigste Angebot auch im Stressfall nicht teurer ist. Ist das günstigste Angebot schon ohne Stress teurer, bleibt die Grundversorgung. Dazwischen: mit Fachperson entscheiden.</t>
        </is>
      </c>
    </row>
    <row r="23">
      <c r="A23" s="4" t="inlineStr">
        <is>
          <t>Entscheid Geschäftsleitung (Markt / Grundversorgung)</t>
        </is>
      </c>
      <c r="B23" s="7" t="n"/>
    </row>
    <row r="24">
      <c r="A24" s="5" t="inlineStr">
        <is>
          <t>Datum, Visum</t>
        </is>
      </c>
      <c r="B24" s="7" t="n"/>
    </row>
    <row r="25">
      <c r="A25" s="5" t="inlineStr">
        <is>
          <t>Begründung in einem Satz</t>
        </is>
      </c>
      <c r="B25" s="7" t="n"/>
      <c r="C25" s="6" t="n"/>
    </row>
    <row r="27" ht="44" customHeight="1">
      <c r="A27" s="2" t="inlineStr">
        <is>
          <t>Ausblick: Nach den Eckwerten des Bundesrats zum Stromabkommen (28.01.2026) gäbe es Grundversorgung künftig nur bis 50 MWh pro Verbrauchsstätte. Das Abkommen ist im Parlament (Geschäft 26.023) und nicht in Kraft. Wer in der Grundversorgung bleibt, sollte trotzdem Beschaffungswissen aufbauen.</t>
        </is>
      </c>
    </row>
  </sheetData>
  <mergeCells count="5">
    <mergeCell ref="B25:C25"/>
    <mergeCell ref="B19:C19"/>
    <mergeCell ref="A27:C27"/>
    <mergeCell ref="A21:C21"/>
    <mergeCell ref="A2:C2"/>
  </mergeCells>
  <conditionalFormatting sqref="B19">
    <cfRule type="expression" priority="1" dxfId="0">
      <formula>$B$19="MARKT PRÜFEN UND MELDEN"</formula>
    </cfRule>
    <cfRule type="expression" priority="2" dxfId="1">
      <formula>$B$19="GRUNDVERSORGUNG BEHALTEN"</formula>
    </cfRule>
    <cfRule type="expression" priority="3" dxfId="2">
      <formula>OR($B$19="NICHT MELDEN",$B$19="LIEFERJAHR ANPASSEN",$B$19="ANGEBOTE EINHOLEN",$B$19="MIT FACHPERSON ENTSCHEIDEN")</formula>
    </cfRule>
  </conditionalFormatting>
  <pageMargins left="0.75" right="0.75" top="1" bottom="1" header="0.5" footer="0.5"/>
  <pageSetup orientation="portrait" paperSize="9" fitToHeight="0" fitToWidth="1"/>
  <headerFooter>
    <oddHeader>&amp;R&amp;8 &amp;A</oddHeader>
    <oddFooter>&amp;C&amp;"Arial"&amp;8 Vortrieb · vortrieb.ch · Stand Oktober 2026 · ersetzt keine Beratung im Einzelfall</oddFooter>
    <evenHeader/>
    <evenFooter>&amp;C&amp;"Arial"&amp;8 Vortrieb · vortrieb.ch · Stand Oktober 2026 · ersetzt keine Beratung im Einzelfall</evenFooter>
    <firstHeader/>
    <firstFooter/>
  </headerFooter>
</worksheet>
</file>

<file path=xl/worksheets/sheet7.xml><?xml version="1.0" encoding="utf-8"?>
<worksheet xmlns="http://schemas.openxmlformats.org/spreadsheetml/2006/main">
  <sheetPr>
    <outlinePr summaryBelow="1" summaryRight="1"/>
    <pageSetUpPr fitToPage="1"/>
  </sheetPr>
  <dimension ref="A1:A20"/>
  <sheetViews>
    <sheetView showGridLines="0" workbookViewId="0">
      <selection activeCell="A1" sqref="A1"/>
    </sheetView>
  </sheetViews>
  <sheetFormatPr baseColWidth="8" defaultRowHeight="15"/>
  <cols>
    <col width="110" customWidth="1" min="1" max="1"/>
  </cols>
  <sheetData>
    <row r="1">
      <c r="A1" s="1" t="inlineStr">
        <is>
          <t>Textbaustein: Mitteilung Netzzugang an den Netzbetreiber</t>
        </is>
      </c>
    </row>
    <row r="2">
      <c r="A2" s="2" t="inlineStr">
        <is>
          <t>In Ihr Briefpapier kopieren. Eingeschrieben oder per E-Mail mit Empfangsbestätigung senden. Datumsfelder stehen als Datum unten, damit sie in jeder Excel-Sprache korrekt erscheinen.</t>
        </is>
      </c>
    </row>
    <row r="4" ht="34" customHeight="1">
      <c r="A4" s="32">
        <f>Stammdaten!B6</f>
        <v/>
      </c>
    </row>
    <row r="5" ht="34" customHeight="1">
      <c r="A5" s="32">
        <f>"Betreff: Mitteilung Netzzugang ab 1. Januar "&amp;Lieferjahr&amp;", Verbrauchsstätte "&amp;Stammdaten!B4</f>
        <v/>
      </c>
    </row>
    <row r="6" ht="34" customHeight="1">
      <c r="A6" s="32">
        <f>"Zählpunkt / Messpunkt: "&amp;IF(Stammdaten!B5="","[bitte ergänzen]",Stammdaten!B5)</f>
        <v/>
      </c>
    </row>
    <row r="7" ht="34" customHeight="1">
      <c r="A7" s="32" t="inlineStr">
        <is>
          <t>Sehr geehrte Damen und Herren</t>
        </is>
      </c>
    </row>
    <row r="8" ht="34" customHeight="1">
      <c r="A8" s="32">
        <f>"Gestützt auf Art. 11 Abs. 2 der Stromversorgungsverordnung (StromVV) teilen wir Ihnen mit, dass "&amp;Stammdaten!B3&amp;" für die oben genannte Verbrauchsstätte ab dem 1. Januar "&amp;Lieferjahr&amp;" von ihrem Anspruch auf Netzzugang Gebrauch macht."</f>
        <v/>
      </c>
    </row>
    <row r="9" ht="34" customHeight="1">
      <c r="A9" s="32" t="inlineStr">
        <is>
          <t>Wir nehmen zur Kenntnis, dass damit Ihre Lieferpflicht nach Art. 6 StromVG für diese Verbrauchsstätte endgültig entfällt.</t>
        </is>
      </c>
    </row>
    <row r="10" ht="34" customHeight="1">
      <c r="A10" s="32" t="inlineStr">
        <is>
          <t>Den neuen Lieferanten teilen wir Ihnen mit, sobald der Liefervertrag unterzeichnet ist. Bitte nennen Sie uns die Anforderungen an die Messung und allfällige Kosten.</t>
        </is>
      </c>
    </row>
    <row r="11" ht="34" customHeight="1">
      <c r="A11" s="32" t="inlineStr">
        <is>
          <t>Bitte bestätigen Sie uns den Eingang dieser Mitteilung schriftlich.</t>
        </is>
      </c>
    </row>
    <row r="12" ht="34" customHeight="1">
      <c r="A12" s="32" t="inlineStr">
        <is>
          <t>Freundliche Grüsse</t>
        </is>
      </c>
    </row>
    <row r="13" ht="34" customHeight="1">
      <c r="A13" s="32">
        <f>Stammdaten!B3</f>
        <v/>
      </c>
    </row>
    <row r="15">
      <c r="A15" s="4" t="inlineStr">
        <is>
          <t>Meldefrist laut Vorlage (Eingang beim Netzbetreiber einplanen vor):</t>
        </is>
      </c>
    </row>
    <row r="16">
      <c r="A16" s="22">
        <f>Frist</f>
        <v/>
      </c>
    </row>
    <row r="17">
      <c r="A17" s="4" t="inlineStr">
        <is>
          <t>Versand spätestens:</t>
        </is>
      </c>
    </row>
    <row r="18">
      <c r="A18" s="22">
        <f>Versand</f>
        <v/>
      </c>
    </row>
    <row r="20">
      <c r="A20" s="2" t="inlineStr">
        <is>
          <t>Hinweis: Schriftform ist nicht vorgeschrieben, die ElCom empfiehlt sie aus Beweisgründen (Fragen und Antworten, 2013).</t>
        </is>
      </c>
    </row>
  </sheetData>
  <pageMargins left="0.75" right="0.75" top="1" bottom="1" header="0.5" footer="0.5"/>
  <pageSetup orientation="portrait" paperSize="9" fitToHeight="0" fitToWidth="1"/>
  <headerFooter>
    <oddHeader>&amp;R&amp;8 &amp;A</oddHeader>
    <oddFooter>&amp;C&amp;"Arial"&amp;8 Vortrieb · vortrieb.ch · Stand Oktober 2026 · ersetzt keine Beratung im Einzelfall</oddFooter>
    <evenHeader/>
    <evenFooter>&amp;C&amp;"Arial"&amp;8 Vortrieb · vortrieb.ch · Stand Oktober 2026 · ersetzt keine Beratung im Einzelfall</evenFooter>
    <firstHeader/>
    <firstFooter/>
  </headerFooter>
</worksheet>
</file>

<file path=xl/worksheets/sheet8.xml><?xml version="1.0" encoding="utf-8"?>
<worksheet xmlns="http://schemas.openxmlformats.org/spreadsheetml/2006/main">
  <sheetPr>
    <outlinePr summaryBelow="1" summaryRight="1"/>
    <pageSetUpPr fitToPage="1"/>
  </sheetPr>
  <dimension ref="A1:F54"/>
  <sheetViews>
    <sheetView showGridLines="0" workbookViewId="0">
      <selection activeCell="A1" sqref="A1"/>
    </sheetView>
  </sheetViews>
  <sheetFormatPr baseColWidth="8" defaultRowHeight="15"/>
  <cols>
    <col width="46" customWidth="1" min="1" max="1"/>
    <col width="18" customWidth="1" min="2" max="2"/>
    <col width="18" customWidth="1" min="3" max="3"/>
    <col width="18" customWidth="1" min="4" max="4"/>
    <col width="16" customWidth="1" min="5" max="5"/>
    <col width="30" customWidth="1" min="6" max="6"/>
  </cols>
  <sheetData>
    <row r="1">
      <c r="A1" s="1" t="inlineStr">
        <is>
          <t>Notfallblatt Gas</t>
        </is>
      </c>
    </row>
    <row r="2" ht="40" customHeight="1">
      <c r="A2" s="2" t="inlineStr">
        <is>
          <t>Vorbereitung auf eine Gasmangellage. Grundlage: Verordnungsentwürfe des Bundesrats vom 24.06.2026 (Umschaltung Zweistoffanlagen, Verwendungsbeschränkungen, Kontingentierung). In Kraft gesetzt werden sie erst bei drohender oder bestehender Mangellage. Jährlich vor dem Winter aktualisieren.</t>
        </is>
      </c>
    </row>
    <row r="4">
      <c r="A4" s="3" t="inlineStr">
        <is>
          <t>A. Vertrag und Verbrauch</t>
        </is>
      </c>
    </row>
    <row r="5">
      <c r="A5" s="5" t="inlineStr">
        <is>
          <t>Gasversorger</t>
        </is>
      </c>
      <c r="B5" s="7" t="inlineStr">
        <is>
          <t>Beispiel Gasversorgung AG</t>
        </is>
      </c>
      <c r="C5" s="6" t="n"/>
      <c r="D5" s="11" t="inlineStr">
        <is>
          <t>Beispiel</t>
        </is>
      </c>
    </row>
    <row r="6">
      <c r="A6" s="5" t="inlineStr">
        <is>
          <t>Notfallkontakt Versorger (Telefon, E-Mail)</t>
        </is>
      </c>
      <c r="B6" s="7" t="n"/>
      <c r="C6" s="6" t="n"/>
    </row>
    <row r="7">
      <c r="A7" s="5" t="inlineStr">
        <is>
          <t>Vertragsart</t>
        </is>
      </c>
      <c r="B7" s="7" t="inlineStr">
        <is>
          <t>Standardtarif lokaler Versorger</t>
        </is>
      </c>
      <c r="C7" s="6" t="n"/>
    </row>
    <row r="8">
      <c r="A8" s="5" t="inlineStr">
        <is>
          <t>Vertragsende oder Kündigungstermin</t>
        </is>
      </c>
      <c r="B8" s="13" t="n"/>
      <c r="C8" s="6" t="n"/>
    </row>
    <row r="9">
      <c r="A9" s="5" t="inlineStr">
        <is>
          <t>Jahresverbrauch Gas kWh (letzte 12 Monate)</t>
        </is>
      </c>
      <c r="B9" s="17" t="n">
        <v>800000</v>
      </c>
      <c r="C9" s="6" t="n"/>
      <c r="D9" s="11" t="inlineStr">
        <is>
          <t>Beispiel</t>
        </is>
      </c>
    </row>
    <row r="10">
      <c r="A10" s="5" t="inlineStr">
        <is>
          <t>Anteil Prozesswärme (Produktion)</t>
        </is>
      </c>
      <c r="B10" s="15" t="n">
        <v>0.6</v>
      </c>
      <c r="C10" s="6" t="n"/>
      <c r="D10" s="11" t="inlineStr">
        <is>
          <t>Beispiel</t>
        </is>
      </c>
    </row>
    <row r="11" ht="28" customHeight="1">
      <c r="A11" s="5" t="inlineStr">
        <is>
          <t>Anteil Raumwärme und Warmwasser</t>
        </is>
      </c>
      <c r="B11" s="21">
        <f>1-B10</f>
        <v/>
      </c>
      <c r="C11" s="6" t="n"/>
      <c r="D11" s="2" t="inlineStr">
        <is>
          <t>Raumwärme würde über eine Höchsttemperatur geregelt, nicht kontingentiert (Entwurf 24.06.2026).</t>
        </is>
      </c>
    </row>
    <row r="13">
      <c r="A13" s="3" t="inlineStr">
        <is>
          <t>B. Zweistoffanlage</t>
        </is>
      </c>
    </row>
    <row r="14">
      <c r="A14" s="5" t="inlineStr">
        <is>
          <t>Zweistoffanlage vorhanden (J/N)</t>
        </is>
      </c>
      <c r="B14" s="7" t="inlineStr">
        <is>
          <t>J</t>
        </is>
      </c>
      <c r="C14" s="6" t="n"/>
    </row>
    <row r="15">
      <c r="A15" s="5" t="inlineStr">
        <is>
          <t>Tankvolumen Heizöl Liter</t>
        </is>
      </c>
      <c r="B15" s="17" t="n">
        <v>20000</v>
      </c>
      <c r="C15" s="6" t="n"/>
      <c r="D15" s="11" t="inlineStr">
        <is>
          <t>Beispiel</t>
        </is>
      </c>
    </row>
    <row r="16">
      <c r="A16" s="5" t="inlineStr">
        <is>
          <t>Aktueller Füllstand Liter</t>
        </is>
      </c>
      <c r="B16" s="17" t="n">
        <v>9000</v>
      </c>
      <c r="C16" s="6" t="n"/>
      <c r="D16" s="11" t="inlineStr">
        <is>
          <t>Beispiel</t>
        </is>
      </c>
    </row>
    <row r="17">
      <c r="A17" s="5" t="inlineStr">
        <is>
          <t>Heizölverbrauch bei Volllast Liter pro Tag</t>
        </is>
      </c>
      <c r="B17" s="17" t="n">
        <v>450</v>
      </c>
      <c r="C17" s="6" t="n"/>
      <c r="D17" s="11" t="inlineStr">
        <is>
          <t>Beispiel</t>
        </is>
      </c>
    </row>
    <row r="18">
      <c r="A18" s="5" t="inlineStr">
        <is>
          <t>Letzter Umschalttest (Datum)</t>
        </is>
      </c>
      <c r="B18" s="13" t="n"/>
      <c r="C18" s="6" t="n"/>
    </row>
    <row r="19">
      <c r="A19" s="5" t="inlineStr">
        <is>
          <t>Verantwortliche Person Umschaltung</t>
        </is>
      </c>
      <c r="B19" s="7" t="n"/>
      <c r="C19" s="6" t="n"/>
    </row>
    <row r="20">
      <c r="A20" s="4" t="inlineStr">
        <is>
          <t>Reichweite Heizöl Tage bei Volllast</t>
        </is>
      </c>
      <c r="B20" s="23">
        <f>IF(B14&lt;&gt;"J","",IF(B17&gt;0,B16/B17,""))</f>
        <v/>
      </c>
      <c r="C20" s="6" t="n"/>
    </row>
    <row r="21">
      <c r="A21" s="4" t="inlineStr">
        <is>
          <t>Status Umschalttest</t>
        </is>
      </c>
      <c r="B21" s="4">
        <f>IF(B14&lt;&gt;"J","keine Zweistoffanlage",IF(B18="","NIE GETESTET",IF(Stichtag-B18&gt;365,"TEST ÄLTER ALS 12 MONATE","OK")))</f>
        <v/>
      </c>
      <c r="C21" s="6" t="n"/>
      <c r="D21" s="2" t="inlineStr">
        <is>
          <t>Ein jährlicher Test ist eine Empfehlung der Redaktion.</t>
        </is>
      </c>
    </row>
    <row r="22" ht="40" customHeight="1">
      <c r="A22" s="2" t="inlineStr">
        <is>
          <t>Bei einer Mangellage müssten Betreiber von Zweistoffanlagen auf Heizöl umschalten. Die Kriseninterventionsorganisation (KIO) des Verbands der Schweizerischen Gasindustrie überwacht Umschaltung und Kontingentierung (Entwurf 24.06.2026). Gelb unter 30 Tagen Reichweite: Annahme der Redaktion.</t>
        </is>
      </c>
    </row>
    <row r="24">
      <c r="A24" s="3" t="inlineStr">
        <is>
          <t>C. Planung Kontingentierung (Gewerbe und Industrie)</t>
        </is>
      </c>
    </row>
    <row r="25" ht="28" customHeight="1">
      <c r="A25" s="5" t="inlineStr">
        <is>
          <t>Kontingentsatz für die Planung (Annahme)</t>
        </is>
      </c>
      <c r="B25" s="15" t="n">
        <v>0.8</v>
      </c>
      <c r="C25" s="2" t="inlineStr">
        <is>
          <t>Beispiel. Im Ernstfall gilt die Vorgabe des Bundes. Der Entwurf nennt keinen Satz.</t>
        </is>
      </c>
    </row>
    <row r="26">
      <c r="A26" s="9" t="inlineStr">
        <is>
          <t>Monat</t>
        </is>
      </c>
      <c r="B26" s="9" t="inlineStr">
        <is>
          <t>Verbrauch Vorjahr kWh</t>
        </is>
      </c>
      <c r="C26" s="9" t="inlineStr">
        <is>
          <t>Kontingent kWh</t>
        </is>
      </c>
      <c r="D26" s="9" t="inlineStr">
        <is>
          <t>Einsparbedarf kWh</t>
        </is>
      </c>
    </row>
    <row r="27">
      <c r="A27" s="5" t="inlineStr">
        <is>
          <t>Oktober</t>
        </is>
      </c>
      <c r="B27" s="17" t="n">
        <v>60000</v>
      </c>
      <c r="C27" s="18">
        <f>B27*$B$25</f>
        <v/>
      </c>
      <c r="D27" s="18">
        <f>B27-C27</f>
        <v/>
      </c>
      <c r="E27" s="11" t="inlineStr">
        <is>
          <t>Beispiel, fiktiv</t>
        </is>
      </c>
    </row>
    <row r="28">
      <c r="A28" s="5" t="inlineStr">
        <is>
          <t>November</t>
        </is>
      </c>
      <c r="B28" s="17" t="n">
        <v>85000</v>
      </c>
      <c r="C28" s="18">
        <f>B28*$B$25</f>
        <v/>
      </c>
      <c r="D28" s="18">
        <f>B28-C28</f>
        <v/>
      </c>
    </row>
    <row r="29">
      <c r="A29" s="5" t="inlineStr">
        <is>
          <t>Dezember</t>
        </is>
      </c>
      <c r="B29" s="17" t="n">
        <v>100000</v>
      </c>
      <c r="C29" s="18">
        <f>B29*$B$25</f>
        <v/>
      </c>
      <c r="D29" s="18">
        <f>B29-C29</f>
        <v/>
      </c>
    </row>
    <row r="30">
      <c r="A30" s="5" t="inlineStr">
        <is>
          <t>Januar</t>
        </is>
      </c>
      <c r="B30" s="17" t="n">
        <v>105000</v>
      </c>
      <c r="C30" s="18">
        <f>B30*$B$25</f>
        <v/>
      </c>
      <c r="D30" s="18">
        <f>B30-C30</f>
        <v/>
      </c>
    </row>
    <row r="31">
      <c r="A31" s="5" t="inlineStr">
        <is>
          <t>Februar</t>
        </is>
      </c>
      <c r="B31" s="17" t="n">
        <v>95000</v>
      </c>
      <c r="C31" s="18">
        <f>B31*$B$25</f>
        <v/>
      </c>
      <c r="D31" s="18">
        <f>B31-C31</f>
        <v/>
      </c>
    </row>
    <row r="32">
      <c r="A32" s="5" t="inlineStr">
        <is>
          <t>März</t>
        </is>
      </c>
      <c r="B32" s="17" t="n">
        <v>80000</v>
      </c>
      <c r="C32" s="18">
        <f>B32*$B$25</f>
        <v/>
      </c>
      <c r="D32" s="18">
        <f>B32-C32</f>
        <v/>
      </c>
    </row>
    <row r="33">
      <c r="A33" s="4" t="inlineStr">
        <is>
          <t>Total Winterhalbjahr</t>
        </is>
      </c>
      <c r="B33" s="20">
        <f>SUM(B27:B32)</f>
        <v/>
      </c>
      <c r="C33" s="20">
        <f>SUM(C27:C32)</f>
        <v/>
      </c>
      <c r="D33" s="20">
        <f>SUM(D27:D32)</f>
        <v/>
      </c>
    </row>
    <row r="34">
      <c r="A34" s="5" t="inlineStr">
        <is>
          <t>Anteil Winterhalbjahr am Jahresverbrauch</t>
        </is>
      </c>
      <c r="B34" s="21">
        <f>IF(B9&gt;0,B33/B9,"")</f>
        <v/>
      </c>
    </row>
    <row r="35">
      <c r="A35" s="3" t="inlineStr">
        <is>
          <t>D. Massnahmen zur Einsparung</t>
        </is>
      </c>
    </row>
    <row r="36">
      <c r="A36" s="9" t="inlineStr">
        <is>
          <t>Massnahme</t>
        </is>
      </c>
      <c r="B36" s="9" t="inlineStr">
        <is>
          <t>Einsparung kWh pro Monat</t>
        </is>
      </c>
      <c r="C36" s="9" t="inlineStr">
        <is>
          <t>Verantwortlich</t>
        </is>
      </c>
      <c r="D36" s="9" t="inlineStr">
        <is>
          <t>Vorlaufzeit</t>
        </is>
      </c>
      <c r="E36" s="9" t="inlineStr">
        <is>
          <t>Status</t>
        </is>
      </c>
      <c r="F36" s="9" t="inlineStr">
        <is>
          <t>Bemerkung</t>
        </is>
      </c>
    </row>
    <row r="37">
      <c r="A37" s="7" t="inlineStr">
        <is>
          <t>Umschaltung Zweistoffanlage auf Heizöl</t>
        </is>
      </c>
      <c r="B37" s="17" t="n">
        <v>30000</v>
      </c>
      <c r="C37" s="7" t="inlineStr">
        <is>
          <t>Leitung Technik</t>
        </is>
      </c>
      <c r="D37" s="7" t="inlineStr">
        <is>
          <t>1 Tag</t>
        </is>
      </c>
      <c r="E37" s="7" t="inlineStr">
        <is>
          <t>vorbereitet</t>
        </is>
      </c>
      <c r="F37" s="19" t="inlineStr">
        <is>
          <t>Beispiele</t>
        </is>
      </c>
    </row>
    <row r="38">
      <c r="A38" s="7" t="inlineStr">
        <is>
          <t>Prozesswärme: Chargen zusammenlegen</t>
        </is>
      </c>
      <c r="B38" s="17" t="n">
        <v>6000</v>
      </c>
      <c r="C38" s="7" t="inlineStr">
        <is>
          <t>Produktion</t>
        </is>
      </c>
      <c r="D38" s="7" t="inlineStr">
        <is>
          <t>1 Woche</t>
        </is>
      </c>
      <c r="E38" s="7" t="inlineStr">
        <is>
          <t>offen</t>
        </is>
      </c>
      <c r="F38" s="7" t="n"/>
    </row>
    <row r="39">
      <c r="A39" s="7" t="inlineStr">
        <is>
          <t>Raumtemperatur in Büro und Lager senken</t>
        </is>
      </c>
      <c r="B39" s="17" t="n">
        <v>3000</v>
      </c>
      <c r="C39" s="7" t="inlineStr">
        <is>
          <t>Facility</t>
        </is>
      </c>
      <c r="D39" s="7" t="inlineStr">
        <is>
          <t>sofort</t>
        </is>
      </c>
      <c r="E39" s="7" t="inlineStr">
        <is>
          <t>offen</t>
        </is>
      </c>
      <c r="F39" s="7" t="n"/>
    </row>
    <row r="40">
      <c r="A40" s="7" t="n"/>
      <c r="B40" s="17" t="n"/>
      <c r="C40" s="7" t="n"/>
      <c r="D40" s="7" t="n"/>
      <c r="E40" s="7" t="n"/>
      <c r="F40" s="7" t="n"/>
    </row>
    <row r="41">
      <c r="A41" s="7" t="n"/>
      <c r="B41" s="17" t="n"/>
      <c r="C41" s="7" t="n"/>
      <c r="D41" s="7" t="n"/>
      <c r="E41" s="7" t="n"/>
      <c r="F41" s="7" t="n"/>
    </row>
    <row r="42">
      <c r="A42" s="4" t="inlineStr">
        <is>
          <t>Summe Einsparung kWh pro Monat</t>
        </is>
      </c>
      <c r="B42" s="20">
        <f>SUM(B37:B41)</f>
        <v/>
      </c>
    </row>
    <row r="43">
      <c r="A43" s="4" t="inlineStr">
        <is>
          <t>Höchster monatlicher Einsparbedarf kWh</t>
        </is>
      </c>
      <c r="B43" s="20">
        <f>MAX(D27:D32)</f>
        <v/>
      </c>
    </row>
    <row r="44">
      <c r="A44" s="4" t="inlineStr">
        <is>
          <t>Deckung des Einsparbedarfs</t>
        </is>
      </c>
      <c r="B44" s="33">
        <f>IF(B43=0,"",B42/B43)</f>
        <v/>
      </c>
    </row>
    <row r="46">
      <c r="A46" s="3" t="inlineStr">
        <is>
          <t>E. Kontakte</t>
        </is>
      </c>
    </row>
    <row r="47">
      <c r="A47" s="9" t="inlineStr">
        <is>
          <t>Rolle</t>
        </is>
      </c>
      <c r="B47" s="9" t="inlineStr">
        <is>
          <t>Name</t>
        </is>
      </c>
      <c r="C47" s="9" t="inlineStr">
        <is>
          <t>Telefon</t>
        </is>
      </c>
      <c r="D47" s="9" t="inlineStr">
        <is>
          <t>E-Mail</t>
        </is>
      </c>
      <c r="E47" s="9" t="inlineStr">
        <is>
          <t>Erreichbar</t>
        </is>
      </c>
      <c r="F47" s="9" t="inlineStr">
        <is>
          <t>Bemerkung</t>
        </is>
      </c>
    </row>
    <row r="48">
      <c r="A48" s="5" t="inlineStr">
        <is>
          <t>Interne Krisenleitung</t>
        </is>
      </c>
      <c r="B48" s="7" t="n"/>
      <c r="C48" s="7" t="n"/>
      <c r="D48" s="7" t="n"/>
      <c r="E48" s="7" t="n"/>
      <c r="F48" s="7" t="n"/>
    </row>
    <row r="49">
      <c r="A49" s="5" t="inlineStr">
        <is>
          <t>Gasversorger, Störung und Krise</t>
        </is>
      </c>
      <c r="B49" s="7" t="n"/>
      <c r="C49" s="7" t="n"/>
      <c r="D49" s="7" t="n"/>
      <c r="E49" s="7" t="n"/>
      <c r="F49" s="7" t="n"/>
    </row>
    <row r="50">
      <c r="A50" s="5" t="inlineStr">
        <is>
          <t>Heizöllieferant</t>
        </is>
      </c>
      <c r="B50" s="7" t="n"/>
      <c r="C50" s="7" t="n"/>
      <c r="D50" s="7" t="n"/>
      <c r="E50" s="7" t="n"/>
      <c r="F50" s="7" t="n"/>
    </row>
    <row r="51">
      <c r="A51" s="5" t="inlineStr">
        <is>
          <t>Brenner- oder Anlagenservice</t>
        </is>
      </c>
      <c r="B51" s="7" t="n"/>
      <c r="C51" s="7" t="n"/>
      <c r="D51" s="7" t="n"/>
      <c r="E51" s="7" t="n"/>
      <c r="F51" s="7" t="n"/>
    </row>
    <row r="52">
      <c r="A52" s="5" t="inlineStr">
        <is>
          <t>Stellvertretung Umschaltung</t>
        </is>
      </c>
      <c r="B52" s="7" t="n"/>
      <c r="C52" s="7" t="n"/>
      <c r="D52" s="7" t="n"/>
      <c r="E52" s="7" t="n"/>
      <c r="F52" s="7" t="n"/>
    </row>
    <row r="54" ht="28" customHeight="1">
      <c r="A54" s="2" t="inlineStr">
        <is>
          <t>Hinweis: Das Gas-Solidaritätsabkommen zwischen der Schweiz, Deutschland und Italien ist am 22.05.2026 in Kraft getreten (Bundesrat, 24.06.2026). Es ersetzt die eigene Vorbereitung nicht.</t>
        </is>
      </c>
    </row>
  </sheetData>
  <mergeCells count="21">
    <mergeCell ref="A54:F54"/>
    <mergeCell ref="D11:F11"/>
    <mergeCell ref="B16:C16"/>
    <mergeCell ref="B7:C7"/>
    <mergeCell ref="B18:C18"/>
    <mergeCell ref="A2:F2"/>
    <mergeCell ref="B21:C21"/>
    <mergeCell ref="B11:C11"/>
    <mergeCell ref="B14:C14"/>
    <mergeCell ref="A22:F22"/>
    <mergeCell ref="B17:C17"/>
    <mergeCell ref="B8:C8"/>
    <mergeCell ref="B19:C19"/>
    <mergeCell ref="B10:C10"/>
    <mergeCell ref="C25:F25"/>
    <mergeCell ref="B9:C9"/>
    <mergeCell ref="B6:C6"/>
    <mergeCell ref="B15:C15"/>
    <mergeCell ref="B5:C5"/>
    <mergeCell ref="B20:C20"/>
    <mergeCell ref="D21:F21"/>
  </mergeCells>
  <conditionalFormatting sqref="B21">
    <cfRule type="expression" priority="1" dxfId="2">
      <formula>OR($B$21="NIE GETESTET",$B$21="TEST ÄLTER ALS 12 MONATE")</formula>
    </cfRule>
  </conditionalFormatting>
  <conditionalFormatting sqref="B20">
    <cfRule type="expression" priority="2" dxfId="1">
      <formula>AND(ISNUMBER($B$20),$B$20&lt;30)</formula>
    </cfRule>
  </conditionalFormatting>
  <conditionalFormatting sqref="B44">
    <cfRule type="expression" priority="3" dxfId="2">
      <formula>AND(ISNUMBER($B$44),$B$44&lt;1)</formula>
    </cfRule>
    <cfRule type="expression" priority="4" dxfId="0">
      <formula>AND(ISNUMBER($B$44),$B$44&gt;=1)</formula>
    </cfRule>
  </conditionalFormatting>
  <dataValidations count="3">
    <dataValidation sqref="B7" showDropDown="0" showInputMessage="0" showErrorMessage="1" allowBlank="1" type="list">
      <formula1>"Standardtarif lokaler Versorger,Marktvertrag,Unklar"</formula1>
    </dataValidation>
    <dataValidation sqref="B14" showDropDown="0" showInputMessage="0" showErrorMessage="1" allowBlank="0" type="list">
      <formula1>"J,N"</formula1>
    </dataValidation>
    <dataValidation sqref="E37:E41" showDropDown="0" showInputMessage="0" showErrorMessage="1" allowBlank="1" type="list">
      <formula1>"offen,vorbereitet,getestet"</formula1>
    </dataValidation>
  </dataValidations>
  <pageMargins left="0.75" right="0.75" top="1" bottom="1" header="0.5" footer="0.5"/>
  <pageSetup orientation="portrait" paperSize="9" fitToHeight="0" fitToWidth="1"/>
  <headerFooter>
    <oddHeader>&amp;R&amp;8 &amp;A</oddHeader>
    <oddFooter>&amp;C&amp;"Arial"&amp;8 Vortrieb · vortrieb.ch · Stand Oktober 2026 · ersetzt keine Beratung im Einzelfall</oddFooter>
    <evenHeader/>
    <evenFooter>&amp;C&amp;"Arial"&amp;8 Vortrieb · vortrieb.ch · Stand Oktober 2026 · ersetzt keine Beratung im Einzelfall</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2026-10-26T12:30:32Z</dcterms:created>
  <dcterms:modified xmlns:dcterms="http://purl.org/dc/terms/" xmlns:xsi="http://www.w3.org/2001/XMLSchema-instance" xsi:type="dcterms:W3CDTF">2026-10-26T12:30:32Z</dcterms:modified>
</cp:coreProperties>
</file>